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95" activeTab="1"/>
  </bookViews>
  <sheets>
    <sheet name="GPLAN" sheetId="1" r:id="rId1"/>
    <sheet name="GPLAN-Formel" sheetId="2" r:id="rId2"/>
  </sheets>
  <definedNames>
    <definedName name="_xlnm.Print_Area" localSheetId="0">'GPLAN'!$A$1:$H$243</definedName>
    <definedName name="_xlnm.Print_Area" localSheetId="1">'GPLAN-Formel'!$A$1:$I$155</definedName>
  </definedNames>
  <calcPr fullCalcOnLoad="1"/>
</workbook>
</file>

<file path=xl/sharedStrings.xml><?xml version="1.0" encoding="utf-8"?>
<sst xmlns="http://schemas.openxmlformats.org/spreadsheetml/2006/main" count="883" uniqueCount="342">
  <si>
    <t>Zinsen</t>
  </si>
  <si>
    <t>Darlehen</t>
  </si>
  <si>
    <t>Sonst. Aufw.</t>
  </si>
  <si>
    <t>AKTIVA</t>
  </si>
  <si>
    <t>PASSIVA</t>
  </si>
  <si>
    <t>Gez. Kapital</t>
  </si>
  <si>
    <t>Maschinen</t>
  </si>
  <si>
    <t>Rücklagen</t>
  </si>
  <si>
    <t>Vorräte</t>
  </si>
  <si>
    <t>Forderungen</t>
  </si>
  <si>
    <t>UMSATZ (ges.)</t>
  </si>
  <si>
    <t>Mat.-Einsatz</t>
  </si>
  <si>
    <t>Rohertrag</t>
  </si>
  <si>
    <t>Pers.-Aufw. (Prod.)</t>
  </si>
  <si>
    <t>BCF</t>
  </si>
  <si>
    <t>Abschreibungen</t>
  </si>
  <si>
    <t>AUFWAND</t>
  </si>
  <si>
    <t>Überschuß v. St.</t>
  </si>
  <si>
    <t>Prod.-Lohn</t>
  </si>
  <si>
    <t>Ko-Stellen</t>
  </si>
  <si>
    <t>SUMME</t>
  </si>
  <si>
    <t>Mat./La.</t>
  </si>
  <si>
    <t>Fertigung</t>
  </si>
  <si>
    <t>Verwaltung</t>
  </si>
  <si>
    <t>Vertrieb</t>
  </si>
  <si>
    <t>GK f. Material</t>
  </si>
  <si>
    <t>GK f. Löhne</t>
  </si>
  <si>
    <t>Gehälter</t>
  </si>
  <si>
    <t>GK f. soz. Auf.</t>
  </si>
  <si>
    <t>Zinsen (Darlehen)</t>
  </si>
  <si>
    <t>Zinsen (kfr.)</t>
  </si>
  <si>
    <t>Einzelmaterial</t>
  </si>
  <si>
    <t>Abschr. (Masch.)</t>
  </si>
  <si>
    <t>Material-GK</t>
  </si>
  <si>
    <t>Abschr. (Gebäude)</t>
  </si>
  <si>
    <t>Materialkosten</t>
  </si>
  <si>
    <t>Einzellöhne</t>
  </si>
  <si>
    <t>Fertigungs-GK</t>
  </si>
  <si>
    <t>EE-Steuern</t>
  </si>
  <si>
    <t>Fertigungsk.</t>
  </si>
  <si>
    <t>HK. d. ARP</t>
  </si>
  <si>
    <t>Bestandsmind.</t>
  </si>
  <si>
    <t>Bestandserh.</t>
  </si>
  <si>
    <t>Anfangsbest. (fl. M.)</t>
  </si>
  <si>
    <t>Bestandsänd.</t>
  </si>
  <si>
    <t>Restzahlung (Ford.)</t>
  </si>
  <si>
    <t>Umsatz (95%)</t>
  </si>
  <si>
    <t>EINZAHLUNGEN</t>
  </si>
  <si>
    <t>Restausg. (Verbind.)</t>
  </si>
  <si>
    <t>Umsatzerlöse</t>
  </si>
  <si>
    <t>Materialeinkauf (90%)</t>
  </si>
  <si>
    <t>Herstellungsk.</t>
  </si>
  <si>
    <t>Zugang (Masch.)</t>
  </si>
  <si>
    <t>BRUTTOERG.</t>
  </si>
  <si>
    <t>Vertriebsk.</t>
  </si>
  <si>
    <t>Sonst. Aufwand</t>
  </si>
  <si>
    <t>Verwaltungsk.</t>
  </si>
  <si>
    <t>Sonst. b. Er.</t>
  </si>
  <si>
    <t>Sonst. b. A..</t>
  </si>
  <si>
    <t>AUSZAHLUNGEN</t>
  </si>
  <si>
    <t>m*p</t>
  </si>
  <si>
    <t>Wertschöpfung</t>
  </si>
  <si>
    <t>DB</t>
  </si>
  <si>
    <t>KF</t>
  </si>
  <si>
    <t>AfA</t>
  </si>
  <si>
    <t>Umsatz</t>
  </si>
  <si>
    <t>Gesamtkosten</t>
  </si>
  <si>
    <t>Kurzfristige Erfolgsrechnung</t>
  </si>
  <si>
    <t>Gesamtleistung</t>
  </si>
  <si>
    <t>Erfolg</t>
  </si>
  <si>
    <t>Aufwand</t>
  </si>
  <si>
    <t>Teilkosten</t>
  </si>
  <si>
    <t>Fixe Kosten</t>
  </si>
  <si>
    <t>Material</t>
  </si>
  <si>
    <t>ROI</t>
  </si>
  <si>
    <t>Liquide Mittel</t>
  </si>
  <si>
    <t>Rückstellungen</t>
  </si>
  <si>
    <t>Darlehenserhöhung</t>
  </si>
  <si>
    <t>Packaufträge (PKR - %)</t>
  </si>
  <si>
    <t>FuE (PKR - %)</t>
  </si>
  <si>
    <t>Umsatzrentabilität</t>
  </si>
  <si>
    <t>PROZESSKOSTENRECHNUNG</t>
  </si>
  <si>
    <t>Elimination</t>
  </si>
  <si>
    <t>GK f. sonst. Auf.</t>
  </si>
  <si>
    <t>Montage (Anteile %)</t>
  </si>
  <si>
    <t>Kosten/Stück (EU)</t>
  </si>
  <si>
    <t>KALKULATION (Basis: ARBEIT)</t>
  </si>
  <si>
    <t>KALKULATION (Basis: MATERIAL/MASCH.)</t>
  </si>
  <si>
    <t>Output/Masch</t>
  </si>
  <si>
    <t>Output/Masch p.a.</t>
  </si>
  <si>
    <t>Material-einsatz/Stk.</t>
  </si>
  <si>
    <t>Personal-kosten /Stk.</t>
  </si>
  <si>
    <t>Produktions-Menge</t>
  </si>
  <si>
    <t>Verkaufs-preis</t>
  </si>
  <si>
    <t>geplanter Umsatz</t>
  </si>
  <si>
    <t>sonstiger Aufwand</t>
  </si>
  <si>
    <t>Art.A</t>
  </si>
  <si>
    <t>Mieten</t>
  </si>
  <si>
    <t>Art.B</t>
  </si>
  <si>
    <t>Beratung</t>
  </si>
  <si>
    <t>Art.C</t>
  </si>
  <si>
    <t>Büro</t>
  </si>
  <si>
    <t>Energie/Stk.</t>
  </si>
  <si>
    <t>Energie</t>
  </si>
  <si>
    <t>Müll/Stk.</t>
  </si>
  <si>
    <t>Müll</t>
  </si>
  <si>
    <t>Steuersatz</t>
  </si>
  <si>
    <t>Literatur</t>
  </si>
  <si>
    <t>Reise</t>
  </si>
  <si>
    <t>Fuhrpark</t>
  </si>
  <si>
    <t>Werbung</t>
  </si>
  <si>
    <t>Telekom</t>
  </si>
  <si>
    <t>Versicherung</t>
  </si>
  <si>
    <t>ANLAGEVERMÖGEN</t>
  </si>
  <si>
    <t>FREMDKAPITAL</t>
  </si>
  <si>
    <t>Reparatur</t>
  </si>
  <si>
    <t>Gebäude</t>
  </si>
  <si>
    <t>Reinigung</t>
  </si>
  <si>
    <t>kfr. Kredite</t>
  </si>
  <si>
    <t>EDV</t>
  </si>
  <si>
    <t>Verbindlichkeiten</t>
  </si>
  <si>
    <t>Bewirtung</t>
  </si>
  <si>
    <t>FuE</t>
  </si>
  <si>
    <t>UMLAUFVERMÖGEN</t>
  </si>
  <si>
    <t>Mat.-annahmme</t>
  </si>
  <si>
    <t>EIGENKAPITAL</t>
  </si>
  <si>
    <t>Packerei</t>
  </si>
  <si>
    <t>Montage</t>
  </si>
  <si>
    <t>fl.Mittel/Kasse</t>
  </si>
  <si>
    <t>Zwischensumme</t>
  </si>
  <si>
    <t>Sonstiges</t>
  </si>
  <si>
    <t>SUMME:</t>
  </si>
  <si>
    <t>SA</t>
  </si>
  <si>
    <t>Afa-Satz vom Restwert</t>
  </si>
  <si>
    <t>Anschaffungs-kosten</t>
  </si>
  <si>
    <t>Nutzungs-dauer</t>
  </si>
  <si>
    <t>AfA-Satz linear</t>
  </si>
  <si>
    <t>X</t>
  </si>
  <si>
    <t>Zinsen p.a.</t>
  </si>
  <si>
    <t>langfr. Darl.</t>
  </si>
  <si>
    <t>kurzfr. Darl.</t>
  </si>
  <si>
    <t>Darlehenserhöhung:</t>
  </si>
  <si>
    <t>sonstiger Aufwand (inkl. fixe Pers.-Kosten):</t>
  </si>
  <si>
    <t>sonstiger Aufwand ohne Energie und Müll</t>
  </si>
  <si>
    <t>Lohnaufwand / Mitarbeiter p.a.:</t>
  </si>
  <si>
    <t>Wertansatz für Materialvorräte d. Vorjahres:</t>
  </si>
  <si>
    <t>Bestellmenge:</t>
  </si>
  <si>
    <t>Neupreis:</t>
  </si>
  <si>
    <t>PERS.</t>
  </si>
  <si>
    <t>Absatz</t>
  </si>
  <si>
    <t>Stückkosten</t>
  </si>
  <si>
    <t>Pers.-Bedarf</t>
  </si>
  <si>
    <t>MATERIAL</t>
  </si>
  <si>
    <t>Vorratsmenge:</t>
  </si>
  <si>
    <t>Materialbedarf:</t>
  </si>
  <si>
    <t>Neubedarf:</t>
  </si>
  <si>
    <t>KAPAZITÄT</t>
  </si>
  <si>
    <t>Orderwert:</t>
  </si>
  <si>
    <t>Maschine</t>
  </si>
  <si>
    <t>p.a.</t>
  </si>
  <si>
    <t>Vorratswert:</t>
  </si>
  <si>
    <t>Materialwert:</t>
  </si>
  <si>
    <t>Verbrauch(Vorj.):</t>
  </si>
  <si>
    <t>INVESTITION</t>
  </si>
  <si>
    <t>NEUE MASCHINEN:</t>
  </si>
  <si>
    <t>Verbrauch(lfd):</t>
  </si>
  <si>
    <t>ABSCHREIBUNGSPLAN</t>
  </si>
  <si>
    <t>Verbrauchswert:</t>
  </si>
  <si>
    <t>Stk.</t>
  </si>
  <si>
    <t>Jahr</t>
  </si>
  <si>
    <t>Wert</t>
  </si>
  <si>
    <t>Restwert</t>
  </si>
  <si>
    <t>Kaufpreis</t>
  </si>
  <si>
    <t>Endbestand:</t>
  </si>
  <si>
    <t>19x1-4</t>
  </si>
  <si>
    <t>gewichtetes Preismittel:</t>
  </si>
  <si>
    <t>19x1-3</t>
  </si>
  <si>
    <t>19x1-2</t>
  </si>
  <si>
    <t>19x1-1</t>
  </si>
  <si>
    <t>19x1-0</t>
  </si>
  <si>
    <t>&lt;- SUMMEN</t>
  </si>
  <si>
    <t>GUV-GKV (§275,II) - 19x1 (TDM)</t>
  </si>
  <si>
    <t>"cash flow"-Plan 19x1</t>
  </si>
  <si>
    <t>cash flow</t>
  </si>
  <si>
    <t>Überschuß n. St.</t>
  </si>
  <si>
    <t>flüssige Mittel</t>
  </si>
  <si>
    <t>Gewinne</t>
  </si>
  <si>
    <t>Ü. v. St.</t>
  </si>
  <si>
    <t>Herstellungsk. des U.</t>
  </si>
  <si>
    <t>Ü. n. St.</t>
  </si>
  <si>
    <t>Kostenauflösung</t>
  </si>
  <si>
    <t>Menge</t>
  </si>
  <si>
    <t>Preis</t>
  </si>
  <si>
    <t>var. Kost (Pers.)</t>
  </si>
  <si>
    <t>Umsatzerlöse:</t>
  </si>
  <si>
    <t>Material/Stk.</t>
  </si>
  <si>
    <t>Preis/kg (Mittel)</t>
  </si>
  <si>
    <t>var. Kost (Mat.)</t>
  </si>
  <si>
    <t>var.Kost. / Stk</t>
  </si>
  <si>
    <t>var. Kost./ Art.</t>
  </si>
  <si>
    <t>variable Kosten:</t>
  </si>
  <si>
    <t>Deckungsbeitrag:</t>
  </si>
  <si>
    <t>Zinsen:</t>
  </si>
  <si>
    <t>Fix-Kosten:</t>
  </si>
  <si>
    <t>Afa:</t>
  </si>
  <si>
    <t>Fix-Kostenverteilung</t>
  </si>
  <si>
    <t>Artikel A</t>
  </si>
  <si>
    <t>Artikel B</t>
  </si>
  <si>
    <t>Artikel C</t>
  </si>
  <si>
    <t>Persaufw.:</t>
  </si>
  <si>
    <t>GK Löhne:</t>
  </si>
  <si>
    <t>Gk Gehälter:</t>
  </si>
  <si>
    <t>Gk Soz:</t>
  </si>
  <si>
    <t>Fixkosten</t>
  </si>
  <si>
    <t>Steuern:</t>
  </si>
  <si>
    <t>Überschuß:</t>
  </si>
  <si>
    <t>Relativer Deckungsbeitrag</t>
  </si>
  <si>
    <t>Stundenzahl p.a.:</t>
  </si>
  <si>
    <t>Produktionsmenge:</t>
  </si>
  <si>
    <t>Stückzahl/Stunde.:</t>
  </si>
  <si>
    <t>Stückpreis:</t>
  </si>
  <si>
    <t>variable Kosten/Stk.:</t>
  </si>
  <si>
    <t>DB (absolut):</t>
  </si>
  <si>
    <t>DB (relativ):</t>
  </si>
  <si>
    <t>VKP/Stk:</t>
  </si>
  <si>
    <t>var/Stk:</t>
  </si>
  <si>
    <t>FIX/mtl:</t>
  </si>
  <si>
    <t>Prod. mtl.</t>
  </si>
  <si>
    <t>Absatz 1. Monat (1/3)</t>
  </si>
  <si>
    <t>Absatz 2. Monat (2/3)</t>
  </si>
  <si>
    <t>GKV</t>
  </si>
  <si>
    <t>1. Mo.</t>
  </si>
  <si>
    <t>Best.-änderung</t>
  </si>
  <si>
    <t>2. Mo.</t>
  </si>
  <si>
    <t>UKV (Vollkosten)</t>
  </si>
  <si>
    <t>Umsatzkosten</t>
  </si>
  <si>
    <t>UKV (Teilkosten)</t>
  </si>
  <si>
    <t>variabler Aufwand</t>
  </si>
  <si>
    <t>fixer Aufwand</t>
  </si>
  <si>
    <t>Volkosten</t>
  </si>
  <si>
    <t>ARTIKEL A</t>
  </si>
  <si>
    <t xml:space="preserve">Umsatz </t>
  </si>
  <si>
    <t xml:space="preserve">Erfolg </t>
  </si>
  <si>
    <t>BE (U)</t>
  </si>
  <si>
    <t>Umsatzgewinnrate</t>
  </si>
  <si>
    <t>Erfolgserhöhung</t>
  </si>
  <si>
    <t>Variable Kosten</t>
  </si>
  <si>
    <t>+ 1%</t>
  </si>
  <si>
    <t>- 1%</t>
  </si>
  <si>
    <t>Erfolgsminderung</t>
  </si>
  <si>
    <t>RETURN ON INVESTMENT</t>
  </si>
  <si>
    <t>Übersch. n. St.</t>
  </si>
  <si>
    <t>Kapitalertrag</t>
  </si>
  <si>
    <t>Materialeinsatz</t>
  </si>
  <si>
    <t>Umsatzrendite</t>
  </si>
  <si>
    <t>betriebl. Afa</t>
  </si>
  <si>
    <t>sonst. Aufwand</t>
  </si>
  <si>
    <t>Gesamtkapital</t>
  </si>
  <si>
    <t>Kapitalumschlag</t>
  </si>
  <si>
    <t>Produktion</t>
  </si>
  <si>
    <t>Verkaufspreis (effektiv)</t>
  </si>
  <si>
    <t>Var. Kosten</t>
  </si>
  <si>
    <t>Deckungsbeitrag I</t>
  </si>
  <si>
    <t>Deckungsbeitrag II</t>
  </si>
  <si>
    <t>Materialkosten/Stück</t>
  </si>
  <si>
    <t>Arbeitszeit (Min./Stück)</t>
  </si>
  <si>
    <t>Arbeitskosten/Stunde</t>
  </si>
  <si>
    <t>Arbeitsstunden</t>
  </si>
  <si>
    <t>Arbeitskosten</t>
  </si>
  <si>
    <t>Materialannahme (%)</t>
  </si>
  <si>
    <t>Materialannahme</t>
  </si>
  <si>
    <t>Mat.ann./Prod.lauf(EU)</t>
  </si>
  <si>
    <t>Packaufträge/Lief.</t>
  </si>
  <si>
    <t>Montage (Anteile)</t>
  </si>
  <si>
    <t>Montage (Anteile/Stück)</t>
  </si>
  <si>
    <t>[Material + Energie + Müll + Lohn (je pro Stück)] * Produktion</t>
  </si>
  <si>
    <t>Summe der variablen K.</t>
  </si>
  <si>
    <t>Gemeinkosten-Basis</t>
  </si>
  <si>
    <t>Gemeinkosten-Faktor</t>
  </si>
  <si>
    <t>Arbeitskosten-Basis</t>
  </si>
  <si>
    <t>Gemeinkosten-Zuschlag</t>
  </si>
  <si>
    <t>Kosten/Stück</t>
  </si>
  <si>
    <t>Material-Einsatz</t>
  </si>
  <si>
    <t>Mat.-Annahme-Zuschlag</t>
  </si>
  <si>
    <t>Montagekosten</t>
  </si>
  <si>
    <t>Arbeitskosten (direkt)</t>
  </si>
  <si>
    <t>Masch.kost. (ges.)</t>
  </si>
  <si>
    <t>Gem.kost-Zuschlag (%)</t>
  </si>
  <si>
    <t>Gem.kost-Zuschlag</t>
  </si>
  <si>
    <t>Masch.nutzg.</t>
  </si>
  <si>
    <t>Maschinenkosten</t>
  </si>
  <si>
    <t>Invest.bedarf-Bedarf</t>
  </si>
  <si>
    <t>Mat.-Einsatz (je Produkt)</t>
  </si>
  <si>
    <t>Material (direkt/Stk.)</t>
  </si>
  <si>
    <t>Arbeitskosten/Stück</t>
  </si>
  <si>
    <t>Maschinenstundensatz</t>
  </si>
  <si>
    <t>Materialannahme-PKS</t>
  </si>
  <si>
    <t>FuE-PKS</t>
  </si>
  <si>
    <t>Packerei-PKS</t>
  </si>
  <si>
    <t>Gem.kost.-Zuschlag (%)</t>
  </si>
  <si>
    <t>Gem.kost.-Zuschlag</t>
  </si>
  <si>
    <t>BE</t>
  </si>
  <si>
    <t>KV</t>
  </si>
  <si>
    <t>Kvges</t>
  </si>
  <si>
    <t>GK</t>
  </si>
  <si>
    <t>BE U</t>
  </si>
  <si>
    <t>BE m</t>
  </si>
  <si>
    <t>Sensibilitätsanalyse / Variationen ARTIKEL A</t>
  </si>
  <si>
    <t>s A:</t>
  </si>
  <si>
    <t>FK:</t>
  </si>
  <si>
    <t>UKV (§ 275, Abs. 3 HGB)</t>
  </si>
  <si>
    <t>AV+StiR</t>
  </si>
  <si>
    <t>UMSATZ</t>
  </si>
  <si>
    <t>Erlösmind.</t>
  </si>
  <si>
    <t>Best./Eigenl.</t>
  </si>
  <si>
    <t>ERTRAG</t>
  </si>
  <si>
    <t>Personalaufw.</t>
  </si>
  <si>
    <t>Ergebnis</t>
  </si>
  <si>
    <t>Ergenis II</t>
  </si>
  <si>
    <t>ao. Ergebnis</t>
  </si>
  <si>
    <t>Steuern</t>
  </si>
  <si>
    <t>Nutzungsdauer</t>
  </si>
  <si>
    <t>Afa Geb.</t>
  </si>
  <si>
    <t>Afa Masch.</t>
  </si>
  <si>
    <t>sonst. Auf.</t>
  </si>
  <si>
    <t>soz. Auf.</t>
  </si>
  <si>
    <t>Löhne</t>
  </si>
  <si>
    <t>Verteilung</t>
  </si>
  <si>
    <t>Rel.DB</t>
  </si>
  <si>
    <t>KER</t>
  </si>
  <si>
    <t>Preismittel:</t>
  </si>
  <si>
    <t>Perskost /Stk.</t>
  </si>
  <si>
    <t>Prod-Menge</t>
  </si>
  <si>
    <t>DB:</t>
  </si>
  <si>
    <t>Mat/Stk.</t>
  </si>
  <si>
    <t>Mat. Vorjahr:</t>
  </si>
  <si>
    <t>Lohn p.a.:</t>
  </si>
  <si>
    <t>wie links</t>
  </si>
  <si>
    <t>oben weiter</t>
  </si>
  <si>
    <t>B</t>
  </si>
  <si>
    <t>C</t>
  </si>
  <si>
    <t>D</t>
  </si>
</sst>
</file>

<file path=xl/styles.xml><?xml version="1.0" encoding="utf-8"?>
<styleSheet xmlns="http://schemas.openxmlformats.org/spreadsheetml/2006/main">
  <numFmts count="7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\d\.m\.\y\y"/>
    <numFmt numFmtId="165" formatCode="\d\.\ mm\ \y\y"/>
    <numFmt numFmtId="166" formatCode="\d\.\ mm"/>
    <numFmt numFmtId="167" formatCode="h:mm"/>
    <numFmt numFmtId="168" formatCode="h:mm:ss"/>
    <numFmt numFmtId="169" formatCode="\d\.m\.\y\y\ h:mm"/>
    <numFmt numFmtId="170" formatCode="#,##0;\-#,##0"/>
    <numFmt numFmtId="171" formatCode="#,##0;[Red]\-#,##0"/>
    <numFmt numFmtId="172" formatCode="#,##0.00;\-#,##0.00"/>
    <numFmt numFmtId="173" formatCode="#,##0.00;[Red]\-#,##0.00"/>
    <numFmt numFmtId="174" formatCode="#,##0.00_ ;[Red]\-#,##0.00\ "/>
    <numFmt numFmtId="175" formatCode="#,##0.0_ ;[Red]\-#,##0.0\ "/>
    <numFmt numFmtId="176" formatCode="#,##0_ ;[Red]\-#,##0\ "/>
    <numFmt numFmtId="177" formatCode="_-* #,##0.0\ _D_M_-;\-* #,##0.0\ _D_M_-;_-* &quot;-&quot;??\ _D_M_-;_-@_-"/>
    <numFmt numFmtId="178" formatCode="_-* #,##0\ _D_M_-;\-* #,##0\ _D_M_-;_-* &quot;-&quot;??\ _D_M_-;_-@_-"/>
    <numFmt numFmtId="179" formatCode="#,##0.0"/>
    <numFmt numFmtId="180" formatCode="#,##0.0;[Red]\-#,##0.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%"/>
    <numFmt numFmtId="187" formatCode="0.0000000"/>
    <numFmt numFmtId="188" formatCode="_-* #,##0.0\ _D_M_-;\-* #,##0.0\ _D_M_-;_-* &quot;-&quot;?\ _D_M_-;_-@_-"/>
    <numFmt numFmtId="189" formatCode="#,##0.0\ _D_M;\-#,##0.0\ _D_M"/>
    <numFmt numFmtId="190" formatCode="_-* #,##0\ _D_M_-;\-* #,##0\ _D_M_-;_-* &quot;-&quot;?\ _D_M_-;_-@_-"/>
    <numFmt numFmtId="191" formatCode="0.00000000"/>
    <numFmt numFmtId="192" formatCode="\$#,##0\ ;\(\$#,##0\)"/>
    <numFmt numFmtId="193" formatCode="\$#,##0\ ;[Red]\(\$#,##0\)"/>
    <numFmt numFmtId="194" formatCode="\$#,##0.00\ ;\(\$#,##0.00\)"/>
    <numFmt numFmtId="195" formatCode="\$#,##0.00\ ;[Red]\(\$#,##0.00\)"/>
    <numFmt numFmtId="196" formatCode="#\ ??"/>
    <numFmt numFmtId="197" formatCode="\t\-mmm\-\j\j"/>
    <numFmt numFmtId="198" formatCode="\t\-mmm"/>
    <numFmt numFmtId="199" formatCode="mmm\-\J\J"/>
    <numFmt numFmtId="200" formatCode="m/\t"/>
    <numFmt numFmtId="201" formatCode="0.000000000"/>
    <numFmt numFmtId="202" formatCode="#,##0.00\ &quot;TStk&quot;"/>
    <numFmt numFmtId="203" formatCode="#,##0.00\ &quot;kg&quot;"/>
    <numFmt numFmtId="204" formatCode="#,##0.00\ &quot;TDM&quot;"/>
    <numFmt numFmtId="205" formatCode="#,##0\ &quot;Jahre&quot;"/>
    <numFmt numFmtId="206" formatCode="#,##0.00\ &quot;DM/kg&quot;"/>
    <numFmt numFmtId="207" formatCode="#,##0.00\ &quot;Tkg&quot;"/>
    <numFmt numFmtId="208" formatCode="#,##0\ &quot;TDM&quot;"/>
    <numFmt numFmtId="209" formatCode="#,##0.00\ &quot;DM/Stk&quot;"/>
    <numFmt numFmtId="210" formatCode="#,##0.00\ &quot;TDM&quot;;[Red]\-#,##0.00\ &quot;TDM&quot;"/>
    <numFmt numFmtId="211" formatCode="#,##0\ &quot;TDM&quot;;[Red]\-#,##0\ &quot;TDM&quot;"/>
    <numFmt numFmtId="212" formatCode="#,##0.0\ &quot;TDM&quot;;[Red]\-#,##0.0\ &quot;TDM&quot;"/>
    <numFmt numFmtId="213" formatCode="0.00_ ;[Red]\-0.00\ "/>
    <numFmt numFmtId="214" formatCode="_-* #,##0.0\ &quot;DM&quot;_-;\-* #,##0.0\ &quot;DM&quot;_-;_-* &quot;-&quot;??\ &quot;DM&quot;_-;_-@_-"/>
    <numFmt numFmtId="215" formatCode="_-* #,##0.000\ &quot;DM&quot;_-;\-* #,##0.000\ &quot;DM&quot;_-;_-* &quot;-&quot;??\ &quot;DM&quot;_-;_-@_-"/>
    <numFmt numFmtId="216" formatCode="_-* #,##0.0000\ &quot;DM&quot;_-;\-* #,##0.0000\ &quot;DM&quot;_-;_-* &quot;-&quot;??\ &quot;DM&quot;_-;_-@_-"/>
    <numFmt numFmtId="217" formatCode="#,##0.000\ &quot;DM&quot;;[Red]\-#,##0.000\ &quot;DM&quot;"/>
    <numFmt numFmtId="218" formatCode="#,##0.0\ &quot;TDM&quot;"/>
    <numFmt numFmtId="219" formatCode="_-* #,##0\ &quot;DM&quot;_-;\-* #,##0\ &quot;DM&quot;_-;_-* &quot;-&quot;??\ &quot;DM&quot;_-;_-@_-"/>
    <numFmt numFmtId="220" formatCode="_-* #,##0.00000\ &quot;DM&quot;_-;\-* #,##0.00000\ &quot;DM&quot;_-;_-* &quot;-&quot;??\ &quot;DM&quot;_-;_-@_-"/>
    <numFmt numFmtId="221" formatCode="#,##0.0\ &quot;DM&quot;;[Red]\-#,##0.0\ &quot;DM&quot;"/>
    <numFmt numFmtId="222" formatCode="#,##0.00\ &quot;Stk&quot;"/>
    <numFmt numFmtId="223" formatCode="0.000%"/>
    <numFmt numFmtId="224" formatCode="#,##0.000\ &quot;TDM&quot;;[Red]\-#,##0.000\ &quot;TDM&quot;"/>
    <numFmt numFmtId="225" formatCode="#,##0.0000\ &quot;TDM&quot;;[Red]\-#,##0.0000\ &quot;TDM&quot;"/>
    <numFmt numFmtId="226" formatCode="#,##0.00\ &quot;DM/h&quot;"/>
    <numFmt numFmtId="227" formatCode="#,##0.00\ &quot;min/Stk&quot;"/>
    <numFmt numFmtId="228" formatCode="#,##0.00\ &quot;%&quot;"/>
    <numFmt numFmtId="229" formatCode="#,##0.00\ &quot;DM/min&quot;"/>
    <numFmt numFmtId="230" formatCode="0.00%;[Red]\-0.00%"/>
  </numFmts>
  <fonts count="2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doubleAccounting"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u val="doubleAccounting"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7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thin"/>
      <right style="medium"/>
      <top style="mediumDash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double"/>
    </border>
    <border>
      <left style="hair"/>
      <right>
        <color indexed="63"/>
      </right>
      <top style="hair"/>
      <bottom style="hair"/>
    </border>
    <border>
      <left style="medium">
        <color indexed="10"/>
      </left>
      <right style="hair"/>
      <top>
        <color indexed="63"/>
      </top>
      <bottom style="hair"/>
    </border>
    <border>
      <left style="hair"/>
      <right style="medium">
        <color indexed="10"/>
      </right>
      <top>
        <color indexed="63"/>
      </top>
      <bottom style="hair"/>
    </border>
    <border>
      <left style="medium">
        <color indexed="10"/>
      </left>
      <right style="hair"/>
      <top style="hair"/>
      <bottom style="hair"/>
    </border>
    <border>
      <left style="hair"/>
      <right style="medium">
        <color indexed="10"/>
      </right>
      <top style="hair"/>
      <bottom style="hair"/>
    </border>
    <border>
      <left style="medium">
        <color indexed="10"/>
      </left>
      <right style="hair"/>
      <top style="hair"/>
      <bottom style="medium">
        <color indexed="10"/>
      </bottom>
    </border>
    <border>
      <left style="hair"/>
      <right style="medium">
        <color indexed="10"/>
      </right>
      <top style="hair"/>
      <bottom style="medium">
        <color indexed="10"/>
      </bottom>
    </border>
    <border>
      <left>
        <color indexed="63"/>
      </left>
      <right style="hair"/>
      <top style="hair"/>
      <bottom style="medium">
        <color indexed="10"/>
      </bottom>
    </border>
    <border>
      <left style="medium">
        <color indexed="10"/>
      </left>
      <right style="hair"/>
      <top>
        <color indexed="63"/>
      </top>
      <bottom style="medium">
        <color indexed="10"/>
      </bottom>
    </border>
    <border>
      <left style="hair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hair"/>
      <top style="hair"/>
      <bottom style="thin"/>
    </border>
    <border>
      <left style="hair"/>
      <right style="medium">
        <color indexed="10"/>
      </right>
      <top style="hair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 style="thin"/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 style="hair"/>
      <top style="medium">
        <color indexed="10"/>
      </top>
      <bottom style="hair"/>
    </border>
    <border>
      <left style="hair"/>
      <right style="hair"/>
      <top style="medium">
        <color indexed="10"/>
      </top>
      <bottom style="hair"/>
    </border>
    <border>
      <left style="hair"/>
      <right style="medium">
        <color indexed="10"/>
      </right>
      <top style="medium">
        <color indexed="10"/>
      </top>
      <bottom style="hair"/>
    </border>
    <border>
      <left style="hair"/>
      <right style="hair"/>
      <top style="hair"/>
      <bottom style="medium">
        <color indexed="10"/>
      </bottom>
    </border>
    <border>
      <left>
        <color indexed="63"/>
      </left>
      <right style="hair"/>
      <top style="medium">
        <color indexed="10"/>
      </top>
      <bottom style="hair"/>
    </border>
    <border>
      <left style="medium">
        <color indexed="10"/>
      </left>
      <right style="thin"/>
      <top style="medium">
        <color indexed="10"/>
      </top>
      <bottom style="thin"/>
    </border>
    <border>
      <left style="hair"/>
      <right style="medium">
        <color indexed="10"/>
      </right>
      <top style="medium">
        <color indexed="10"/>
      </top>
      <bottom style="thin"/>
    </border>
    <border>
      <left style="hair"/>
      <right style="medium">
        <color indexed="10"/>
      </right>
      <top style="thin"/>
      <bottom style="hair"/>
    </border>
    <border>
      <left style="medium">
        <color indexed="10"/>
      </left>
      <right style="hair"/>
      <top style="medium">
        <color indexed="10"/>
      </top>
      <bottom style="thin"/>
    </border>
    <border>
      <left style="hair"/>
      <right style="hair"/>
      <top style="medium">
        <color indexed="10"/>
      </top>
      <bottom style="thin"/>
    </border>
    <border>
      <left style="medium">
        <color indexed="10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>
        <color indexed="10"/>
      </right>
      <top>
        <color indexed="63"/>
      </top>
      <bottom style="thin"/>
    </border>
    <border>
      <left style="hair"/>
      <right style="hair"/>
      <top>
        <color indexed="63"/>
      </top>
      <bottom style="medium">
        <color indexed="10"/>
      </bottom>
    </border>
    <border>
      <left style="hair"/>
      <right style="hair"/>
      <top style="thin"/>
      <bottom style="medium">
        <color indexed="10"/>
      </bottom>
    </border>
    <border>
      <left>
        <color indexed="63"/>
      </left>
      <right style="hair"/>
      <top style="medium">
        <color indexed="10"/>
      </top>
      <bottom style="thin"/>
    </border>
    <border>
      <left>
        <color indexed="63"/>
      </left>
      <right style="hair"/>
      <top style="thin"/>
      <bottom style="hair"/>
    </border>
    <border>
      <left style="medium">
        <color indexed="10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>
        <color indexed="63"/>
      </left>
      <right style="medium">
        <color indexed="10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/>
      <bottom style="double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10"/>
      </right>
      <top>
        <color indexed="63"/>
      </top>
      <bottom style="double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>
        <color indexed="10"/>
      </right>
      <top style="hair"/>
      <bottom>
        <color indexed="63"/>
      </bottom>
    </border>
    <border>
      <left style="medium">
        <color indexed="10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/>
      <right style="hair"/>
      <top style="thin"/>
      <bottom style="hair"/>
    </border>
    <border>
      <left style="medium">
        <color indexed="10"/>
      </left>
      <right style="hair"/>
      <top style="hair"/>
      <bottom>
        <color indexed="63"/>
      </bottom>
    </border>
    <border>
      <left style="medium">
        <color indexed="10"/>
      </left>
      <right style="hair"/>
      <top style="hair"/>
      <bottom style="medium">
        <color indexed="14"/>
      </bottom>
    </border>
    <border>
      <left style="thin"/>
      <right style="medium">
        <color indexed="10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>
        <color indexed="10"/>
      </bottom>
    </border>
    <border>
      <left>
        <color indexed="63"/>
      </left>
      <right style="hair"/>
      <top style="hair"/>
      <bottom style="thin"/>
    </border>
    <border>
      <left style="hair"/>
      <right style="medium">
        <color indexed="51"/>
      </right>
      <top style="medium">
        <color indexed="51"/>
      </top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thin"/>
      <top style="thin"/>
      <bottom style="medium">
        <color indexed="10"/>
      </bottom>
    </border>
    <border>
      <left style="medium">
        <color indexed="10"/>
      </left>
      <right>
        <color indexed="63"/>
      </right>
      <top style="hair"/>
      <bottom style="hair"/>
    </border>
    <border>
      <left style="medium">
        <color indexed="10"/>
      </left>
      <right>
        <color indexed="63"/>
      </right>
      <top style="hair"/>
      <bottom style="medium">
        <color indexed="10"/>
      </bottom>
    </border>
    <border>
      <left>
        <color indexed="63"/>
      </left>
      <right>
        <color indexed="63"/>
      </right>
      <top style="hair"/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3" fontId="4" fillId="0" borderId="0" applyFont="0" applyFill="0" applyBorder="0" applyAlignment="0" applyProtection="0"/>
  </cellStyleXfs>
  <cellXfs count="933">
    <xf numFmtId="0" fontId="0" fillId="0" borderId="0" xfId="0" applyAlignment="1">
      <alignment/>
    </xf>
    <xf numFmtId="0" fontId="7" fillId="2" borderId="1" xfId="53" applyFont="1" applyFill="1" applyBorder="1" applyAlignment="1">
      <alignment wrapText="1"/>
      <protection/>
    </xf>
    <xf numFmtId="0" fontId="7" fillId="2" borderId="2" xfId="53" applyFont="1" applyFill="1" applyBorder="1" applyAlignment="1">
      <alignment horizontal="center" wrapText="1"/>
      <protection/>
    </xf>
    <xf numFmtId="0" fontId="7" fillId="2" borderId="3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>
      <alignment wrapText="1"/>
      <protection/>
    </xf>
    <xf numFmtId="0" fontId="7" fillId="2" borderId="4" xfId="53" applyFont="1" applyFill="1" applyBorder="1">
      <alignment/>
      <protection/>
    </xf>
    <xf numFmtId="203" fontId="7" fillId="2" borderId="5" xfId="53" applyNumberFormat="1" applyFont="1" applyFill="1" applyBorder="1">
      <alignment/>
      <protection/>
    </xf>
    <xf numFmtId="8" fontId="7" fillId="2" borderId="5" xfId="53" applyNumberFormat="1" applyFont="1" applyFill="1" applyBorder="1">
      <alignment/>
      <protection/>
    </xf>
    <xf numFmtId="202" fontId="7" fillId="2" borderId="5" xfId="53" applyNumberFormat="1" applyFont="1" applyFill="1" applyBorder="1">
      <alignment/>
      <protection/>
    </xf>
    <xf numFmtId="8" fontId="7" fillId="3" borderId="6" xfId="53" applyNumberFormat="1" applyFont="1" applyFill="1" applyBorder="1">
      <alignment/>
      <protection/>
    </xf>
    <xf numFmtId="0" fontId="7" fillId="0" borderId="4" xfId="53" applyFont="1" applyFill="1" applyBorder="1" applyAlignment="1">
      <alignment horizontal="right"/>
      <protection/>
    </xf>
    <xf numFmtId="0" fontId="7" fillId="0" borderId="7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2" borderId="8" xfId="53" applyFont="1" applyFill="1" applyBorder="1">
      <alignment/>
      <protection/>
    </xf>
    <xf numFmtId="203" fontId="7" fillId="2" borderId="9" xfId="53" applyNumberFormat="1" applyFont="1" applyFill="1" applyBorder="1">
      <alignment/>
      <protection/>
    </xf>
    <xf numFmtId="8" fontId="7" fillId="2" borderId="9" xfId="53" applyNumberFormat="1" applyFont="1" applyFill="1" applyBorder="1">
      <alignment/>
      <protection/>
    </xf>
    <xf numFmtId="202" fontId="7" fillId="2" borderId="9" xfId="53" applyNumberFormat="1" applyFont="1" applyFill="1" applyBorder="1">
      <alignment/>
      <protection/>
    </xf>
    <xf numFmtId="8" fontId="7" fillId="2" borderId="10" xfId="53" applyNumberFormat="1" applyFont="1" applyFill="1" applyBorder="1">
      <alignment/>
      <protection/>
    </xf>
    <xf numFmtId="8" fontId="7" fillId="3" borderId="11" xfId="53" applyNumberFormat="1" applyFont="1" applyFill="1" applyBorder="1">
      <alignment/>
      <protection/>
    </xf>
    <xf numFmtId="0" fontId="7" fillId="2" borderId="9" xfId="53" applyFont="1" applyFill="1" applyBorder="1" applyAlignment="1">
      <alignment horizontal="center" wrapText="1"/>
      <protection/>
    </xf>
    <xf numFmtId="8" fontId="7" fillId="2" borderId="12" xfId="53" applyNumberFormat="1" applyFont="1" applyFill="1" applyBorder="1" applyAlignment="1">
      <alignment horizontal="center"/>
      <protection/>
    </xf>
    <xf numFmtId="218" fontId="7" fillId="2" borderId="6" xfId="53" applyNumberFormat="1" applyFont="1" applyFill="1" applyBorder="1" applyAlignment="1">
      <alignment horizontal="center"/>
      <protection/>
    </xf>
    <xf numFmtId="8" fontId="7" fillId="2" borderId="13" xfId="53" applyNumberFormat="1" applyFont="1" applyFill="1" applyBorder="1">
      <alignment/>
      <protection/>
    </xf>
    <xf numFmtId="218" fontId="7" fillId="2" borderId="5" xfId="53" applyNumberFormat="1" applyFont="1" applyFill="1" applyBorder="1">
      <alignment/>
      <protection/>
    </xf>
    <xf numFmtId="218" fontId="7" fillId="2" borderId="7" xfId="53" applyNumberFormat="1" applyFont="1" applyFill="1" applyBorder="1">
      <alignment/>
      <protection/>
    </xf>
    <xf numFmtId="9" fontId="7" fillId="2" borderId="6" xfId="50" applyFont="1" applyFill="1" applyBorder="1" applyAlignment="1">
      <alignment horizontal="center"/>
    </xf>
    <xf numFmtId="218" fontId="7" fillId="2" borderId="6" xfId="53" applyNumberFormat="1" applyFont="1" applyFill="1" applyBorder="1">
      <alignment/>
      <protection/>
    </xf>
    <xf numFmtId="8" fontId="7" fillId="2" borderId="14" xfId="53" applyNumberFormat="1" applyFont="1" applyFill="1" applyBorder="1">
      <alignment/>
      <protection/>
    </xf>
    <xf numFmtId="218" fontId="7" fillId="2" borderId="0" xfId="53" applyNumberFormat="1" applyFont="1" applyFill="1" applyBorder="1">
      <alignment/>
      <protection/>
    </xf>
    <xf numFmtId="8" fontId="7" fillId="2" borderId="15" xfId="53" applyNumberFormat="1" applyFont="1" applyFill="1" applyBorder="1">
      <alignment/>
      <protection/>
    </xf>
    <xf numFmtId="218" fontId="7" fillId="2" borderId="16" xfId="53" applyNumberFormat="1" applyFont="1" applyFill="1" applyBorder="1">
      <alignment/>
      <protection/>
    </xf>
    <xf numFmtId="0" fontId="7" fillId="0" borderId="17" xfId="53" applyFont="1" applyFill="1" applyBorder="1" applyAlignment="1">
      <alignment horizontal="center" textRotation="90"/>
      <protection/>
    </xf>
    <xf numFmtId="208" fontId="7" fillId="2" borderId="5" xfId="53" applyNumberFormat="1" applyFont="1" applyFill="1" applyBorder="1">
      <alignment/>
      <protection/>
    </xf>
    <xf numFmtId="208" fontId="7" fillId="2" borderId="0" xfId="53" applyNumberFormat="1" applyFont="1" applyFill="1" applyBorder="1">
      <alignment/>
      <protection/>
    </xf>
    <xf numFmtId="0" fontId="7" fillId="2" borderId="18" xfId="53" applyFont="1" applyFill="1" applyBorder="1" applyAlignment="1">
      <alignment horizontal="left"/>
      <protection/>
    </xf>
    <xf numFmtId="0" fontId="7" fillId="2" borderId="0" xfId="53" applyFont="1" applyFill="1" applyBorder="1" applyAlignment="1">
      <alignment horizontal="left"/>
      <protection/>
    </xf>
    <xf numFmtId="0" fontId="7" fillId="2" borderId="19" xfId="53" applyFont="1" applyFill="1" applyBorder="1" applyAlignment="1">
      <alignment horizontal="left"/>
      <protection/>
    </xf>
    <xf numFmtId="208" fontId="7" fillId="2" borderId="20" xfId="53" applyNumberFormat="1" applyFont="1" applyFill="1" applyBorder="1">
      <alignment/>
      <protection/>
    </xf>
    <xf numFmtId="0" fontId="7" fillId="2" borderId="18" xfId="53" applyFont="1" applyFill="1" applyBorder="1">
      <alignment/>
      <protection/>
    </xf>
    <xf numFmtId="0" fontId="7" fillId="2" borderId="0" xfId="53" applyFont="1" applyFill="1" applyBorder="1">
      <alignment/>
      <protection/>
    </xf>
    <xf numFmtId="208" fontId="10" fillId="2" borderId="0" xfId="53" applyNumberFormat="1" applyFont="1" applyFill="1" applyBorder="1">
      <alignment/>
      <protection/>
    </xf>
    <xf numFmtId="208" fontId="7" fillId="2" borderId="21" xfId="53" applyNumberFormat="1" applyFont="1" applyFill="1" applyBorder="1">
      <alignment/>
      <protection/>
    </xf>
    <xf numFmtId="0" fontId="7" fillId="0" borderId="4" xfId="53" applyFont="1" applyFill="1" applyBorder="1" applyAlignment="1">
      <alignment horizontal="left"/>
      <protection/>
    </xf>
    <xf numFmtId="0" fontId="7" fillId="3" borderId="7" xfId="53" applyFont="1" applyFill="1" applyBorder="1">
      <alignment/>
      <protection/>
    </xf>
    <xf numFmtId="0" fontId="7" fillId="2" borderId="22" xfId="53" applyFont="1" applyFill="1" applyBorder="1">
      <alignment/>
      <protection/>
    </xf>
    <xf numFmtId="0" fontId="7" fillId="2" borderId="21" xfId="53" applyFont="1" applyFill="1" applyBorder="1">
      <alignment/>
      <protection/>
    </xf>
    <xf numFmtId="208" fontId="10" fillId="2" borderId="21" xfId="53" applyNumberFormat="1" applyFont="1" applyFill="1" applyBorder="1">
      <alignment/>
      <protection/>
    </xf>
    <xf numFmtId="0" fontId="7" fillId="2" borderId="23" xfId="53" applyFont="1" applyFill="1" applyBorder="1">
      <alignment/>
      <protection/>
    </xf>
    <xf numFmtId="0" fontId="7" fillId="2" borderId="10" xfId="53" applyFont="1" applyFill="1" applyBorder="1" applyAlignment="1">
      <alignment horizontal="right"/>
      <protection/>
    </xf>
    <xf numFmtId="208" fontId="7" fillId="2" borderId="10" xfId="53" applyNumberFormat="1" applyFont="1" applyFill="1" applyBorder="1">
      <alignment/>
      <protection/>
    </xf>
    <xf numFmtId="0" fontId="7" fillId="2" borderId="10" xfId="53" applyFont="1" applyFill="1" applyBorder="1">
      <alignment/>
      <protection/>
    </xf>
    <xf numFmtId="0" fontId="7" fillId="0" borderId="24" xfId="53" applyFont="1" applyFill="1" applyBorder="1" applyAlignment="1">
      <alignment horizontal="left"/>
      <protection/>
    </xf>
    <xf numFmtId="0" fontId="7" fillId="3" borderId="25" xfId="53" applyFont="1" applyFill="1" applyBorder="1">
      <alignment/>
      <protection/>
    </xf>
    <xf numFmtId="0" fontId="7" fillId="2" borderId="5" xfId="53" applyFont="1" applyFill="1" applyBorder="1" applyAlignment="1">
      <alignment horizontal="center" wrapText="1"/>
      <protection/>
    </xf>
    <xf numFmtId="0" fontId="7" fillId="2" borderId="7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 wrapText="1"/>
      <protection/>
    </xf>
    <xf numFmtId="9" fontId="7" fillId="2" borderId="5" xfId="50" applyFont="1" applyFill="1" applyBorder="1" applyAlignment="1">
      <alignment horizontal="center" wrapText="1"/>
    </xf>
    <xf numFmtId="0" fontId="7" fillId="2" borderId="5" xfId="53" applyFont="1" applyFill="1" applyBorder="1" applyAlignment="1">
      <alignment horizontal="center"/>
      <protection/>
    </xf>
    <xf numFmtId="208" fontId="7" fillId="2" borderId="5" xfId="53" applyNumberFormat="1" applyFont="1" applyFill="1" applyBorder="1" applyAlignment="1">
      <alignment horizontal="center"/>
      <protection/>
    </xf>
    <xf numFmtId="205" fontId="7" fillId="2" borderId="5" xfId="53" applyNumberFormat="1" applyFont="1" applyFill="1" applyBorder="1" applyAlignment="1">
      <alignment horizontal="center"/>
      <protection/>
    </xf>
    <xf numFmtId="9" fontId="7" fillId="2" borderId="7" xfId="50" applyFont="1" applyFill="1" applyBorder="1" applyAlignment="1">
      <alignment horizontal="center"/>
    </xf>
    <xf numFmtId="0" fontId="7" fillId="2" borderId="5" xfId="53" applyFont="1" applyFill="1" applyBorder="1" applyAlignment="1">
      <alignment horizontal="right"/>
      <protection/>
    </xf>
    <xf numFmtId="186" fontId="7" fillId="2" borderId="5" xfId="50" applyNumberFormat="1" applyFont="1" applyFill="1" applyBorder="1" applyAlignment="1">
      <alignment horizontal="center" wrapText="1"/>
    </xf>
    <xf numFmtId="0" fontId="7" fillId="2" borderId="5" xfId="53" applyFont="1" applyFill="1" applyBorder="1" applyAlignment="1">
      <alignment horizontal="left"/>
      <protection/>
    </xf>
    <xf numFmtId="186" fontId="7" fillId="2" borderId="7" xfId="50" applyNumberFormat="1" applyFont="1" applyFill="1" applyBorder="1" applyAlignment="1">
      <alignment horizontal="center" wrapText="1"/>
    </xf>
    <xf numFmtId="0" fontId="7" fillId="0" borderId="0" xfId="53" applyFont="1" applyFill="1" applyBorder="1" applyAlignment="1">
      <alignment/>
      <protection/>
    </xf>
    <xf numFmtId="0" fontId="7" fillId="2" borderId="8" xfId="53" applyFont="1" applyFill="1" applyBorder="1" applyAlignment="1">
      <alignment horizontal="center"/>
      <protection/>
    </xf>
    <xf numFmtId="0" fontId="7" fillId="2" borderId="10" xfId="53" applyFont="1" applyFill="1" applyBorder="1" applyAlignment="1">
      <alignment horizontal="center"/>
      <protection/>
    </xf>
    <xf numFmtId="208" fontId="7" fillId="2" borderId="12" xfId="53" applyNumberFormat="1" applyFont="1" applyFill="1" applyBorder="1">
      <alignment/>
      <protection/>
    </xf>
    <xf numFmtId="206" fontId="7" fillId="2" borderId="12" xfId="53" applyNumberFormat="1" applyFont="1" applyFill="1" applyBorder="1">
      <alignment/>
      <protection/>
    </xf>
    <xf numFmtId="0" fontId="7" fillId="2" borderId="17" xfId="53" applyFont="1" applyFill="1" applyBorder="1">
      <alignment/>
      <protection/>
    </xf>
    <xf numFmtId="0" fontId="7" fillId="2" borderId="26" xfId="53" applyFont="1" applyFill="1" applyBorder="1" applyAlignment="1">
      <alignment horizontal="right"/>
      <protection/>
    </xf>
    <xf numFmtId="207" fontId="7" fillId="2" borderId="27" xfId="53" applyNumberFormat="1" applyFont="1" applyFill="1" applyBorder="1">
      <alignment/>
      <protection/>
    </xf>
    <xf numFmtId="0" fontId="7" fillId="2" borderId="28" xfId="53" applyFont="1" applyFill="1" applyBorder="1">
      <alignment/>
      <protection/>
    </xf>
    <xf numFmtId="0" fontId="7" fillId="2" borderId="29" xfId="53" applyFont="1" applyFill="1" applyBorder="1" applyAlignment="1">
      <alignment horizontal="right"/>
      <protection/>
    </xf>
    <xf numFmtId="206" fontId="7" fillId="2" borderId="30" xfId="53" applyNumberFormat="1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207" fontId="7" fillId="0" borderId="0" xfId="53" applyNumberFormat="1" applyFont="1" applyFill="1" applyBorder="1">
      <alignment/>
      <protection/>
    </xf>
    <xf numFmtId="206" fontId="7" fillId="0" borderId="0" xfId="53" applyNumberFormat="1" applyFont="1" applyFill="1" applyBorder="1">
      <alignment/>
      <protection/>
    </xf>
    <xf numFmtId="0" fontId="7" fillId="0" borderId="0" xfId="53" applyFont="1" applyFill="1" applyBorder="1" applyAlignment="1">
      <alignment horizontal="left"/>
      <protection/>
    </xf>
    <xf numFmtId="0" fontId="8" fillId="4" borderId="1" xfId="53" applyFont="1" applyFill="1" applyBorder="1" applyAlignment="1">
      <alignment horizontal="center"/>
      <protection/>
    </xf>
    <xf numFmtId="0" fontId="7" fillId="4" borderId="31" xfId="53" applyFont="1" applyFill="1" applyBorder="1" applyAlignment="1">
      <alignment horizontal="center"/>
      <protection/>
    </xf>
    <xf numFmtId="0" fontId="7" fillId="4" borderId="2" xfId="53" applyFont="1" applyFill="1" applyBorder="1" applyAlignment="1">
      <alignment horizontal="center"/>
      <protection/>
    </xf>
    <xf numFmtId="0" fontId="7" fillId="4" borderId="4" xfId="53" applyFont="1" applyFill="1" applyBorder="1">
      <alignment/>
      <protection/>
    </xf>
    <xf numFmtId="202" fontId="7" fillId="5" borderId="5" xfId="53" applyNumberFormat="1" applyFont="1" applyFill="1" applyBorder="1" applyAlignment="1">
      <alignment horizontal="right"/>
      <protection/>
    </xf>
    <xf numFmtId="209" fontId="7" fillId="5" borderId="5" xfId="53" applyNumberFormat="1" applyFont="1" applyFill="1" applyBorder="1">
      <alignment/>
      <protection/>
    </xf>
    <xf numFmtId="208" fontId="7" fillId="3" borderId="5" xfId="53" applyNumberFormat="1" applyFont="1" applyFill="1" applyBorder="1">
      <alignment/>
      <protection/>
    </xf>
    <xf numFmtId="2" fontId="7" fillId="3" borderId="5" xfId="53" applyNumberFormat="1" applyFont="1" applyFill="1" applyBorder="1" applyAlignment="1">
      <alignment horizontal="center"/>
      <protection/>
    </xf>
    <xf numFmtId="1" fontId="7" fillId="3" borderId="6" xfId="53" applyNumberFormat="1" applyFont="1" applyFill="1" applyBorder="1" applyAlignment="1">
      <alignment horizontal="center"/>
      <protection/>
    </xf>
    <xf numFmtId="0" fontId="7" fillId="4" borderId="4" xfId="53" applyFont="1" applyFill="1" applyBorder="1" applyAlignment="1">
      <alignment horizontal="right"/>
      <protection/>
    </xf>
    <xf numFmtId="207" fontId="7" fillId="5" borderId="7" xfId="53" applyNumberFormat="1" applyFont="1" applyFill="1" applyBorder="1">
      <alignment/>
      <protection/>
    </xf>
    <xf numFmtId="1" fontId="7" fillId="3" borderId="7" xfId="53" applyNumberFormat="1" applyFont="1" applyFill="1" applyBorder="1" applyAlignment="1">
      <alignment horizontal="center"/>
      <protection/>
    </xf>
    <xf numFmtId="207" fontId="7" fillId="3" borderId="7" xfId="53" applyNumberFormat="1" applyFont="1" applyFill="1" applyBorder="1">
      <alignment/>
      <protection/>
    </xf>
    <xf numFmtId="0" fontId="7" fillId="4" borderId="32" xfId="53" applyFont="1" applyFill="1" applyBorder="1">
      <alignment/>
      <protection/>
    </xf>
    <xf numFmtId="202" fontId="7" fillId="5" borderId="33" xfId="53" applyNumberFormat="1" applyFont="1" applyFill="1" applyBorder="1" applyAlignment="1">
      <alignment horizontal="right"/>
      <protection/>
    </xf>
    <xf numFmtId="209" fontId="7" fillId="5" borderId="33" xfId="53" applyNumberFormat="1" applyFont="1" applyFill="1" applyBorder="1">
      <alignment/>
      <protection/>
    </xf>
    <xf numFmtId="208" fontId="7" fillId="3" borderId="33" xfId="53" applyNumberFormat="1" applyFont="1" applyFill="1" applyBorder="1">
      <alignment/>
      <protection/>
    </xf>
    <xf numFmtId="2" fontId="7" fillId="3" borderId="33" xfId="53" applyNumberFormat="1" applyFont="1" applyFill="1" applyBorder="1" applyAlignment="1">
      <alignment horizontal="center"/>
      <protection/>
    </xf>
    <xf numFmtId="1" fontId="7" fillId="3" borderId="11" xfId="53" applyNumberFormat="1" applyFont="1" applyFill="1" applyBorder="1" applyAlignment="1">
      <alignment horizontal="center"/>
      <protection/>
    </xf>
    <xf numFmtId="0" fontId="7" fillId="4" borderId="34" xfId="53" applyFont="1" applyFill="1" applyBorder="1" applyAlignment="1">
      <alignment horizontal="right"/>
      <protection/>
    </xf>
    <xf numFmtId="208" fontId="7" fillId="3" borderId="35" xfId="53" applyNumberFormat="1" applyFont="1" applyFill="1" applyBorder="1">
      <alignment/>
      <protection/>
    </xf>
    <xf numFmtId="0" fontId="7" fillId="4" borderId="6" xfId="53" applyFont="1" applyFill="1" applyBorder="1" applyAlignment="1">
      <alignment horizontal="right"/>
      <protection/>
    </xf>
    <xf numFmtId="0" fontId="7" fillId="4" borderId="13" xfId="53" applyFont="1" applyFill="1" applyBorder="1" applyAlignment="1">
      <alignment horizontal="center"/>
      <protection/>
    </xf>
    <xf numFmtId="202" fontId="7" fillId="5" borderId="5" xfId="53" applyNumberFormat="1" applyFont="1" applyFill="1" applyBorder="1">
      <alignment/>
      <protection/>
    </xf>
    <xf numFmtId="4" fontId="7" fillId="3" borderId="5" xfId="53" applyNumberFormat="1" applyFont="1" applyFill="1" applyBorder="1" applyAlignment="1">
      <alignment horizontal="center"/>
      <protection/>
    </xf>
    <xf numFmtId="4" fontId="7" fillId="3" borderId="7" xfId="53" applyNumberFormat="1" applyFont="1" applyFill="1" applyBorder="1">
      <alignment/>
      <protection/>
    </xf>
    <xf numFmtId="0" fontId="7" fillId="4" borderId="36" xfId="53" applyFont="1" applyFill="1" applyBorder="1" applyAlignment="1">
      <alignment horizontal="right"/>
      <protection/>
    </xf>
    <xf numFmtId="208" fontId="7" fillId="3" borderId="37" xfId="53" applyNumberFormat="1" applyFont="1" applyFill="1" applyBorder="1">
      <alignment/>
      <protection/>
    </xf>
    <xf numFmtId="208" fontId="7" fillId="3" borderId="38" xfId="53" applyNumberFormat="1" applyFont="1" applyFill="1" applyBorder="1">
      <alignment/>
      <protection/>
    </xf>
    <xf numFmtId="0" fontId="7" fillId="4" borderId="39" xfId="53" applyFont="1" applyFill="1" applyBorder="1" applyAlignment="1">
      <alignment horizontal="right"/>
      <protection/>
    </xf>
    <xf numFmtId="0" fontId="7" fillId="4" borderId="17" xfId="53" applyFont="1" applyFill="1" applyBorder="1" applyAlignment="1">
      <alignment horizontal="left"/>
      <protection/>
    </xf>
    <xf numFmtId="0" fontId="7" fillId="4" borderId="29" xfId="53" applyFont="1" applyFill="1" applyBorder="1" applyAlignment="1">
      <alignment horizontal="center"/>
      <protection/>
    </xf>
    <xf numFmtId="0" fontId="7" fillId="3" borderId="27" xfId="53" applyFont="1" applyFill="1" applyBorder="1" applyAlignment="1">
      <alignment horizontal="center"/>
      <protection/>
    </xf>
    <xf numFmtId="0" fontId="7" fillId="4" borderId="26" xfId="53" applyFont="1" applyFill="1" applyBorder="1" applyAlignment="1">
      <alignment horizontal="left"/>
      <protection/>
    </xf>
    <xf numFmtId="4" fontId="7" fillId="4" borderId="29" xfId="53" applyNumberFormat="1" applyFont="1" applyFill="1" applyBorder="1" applyAlignment="1">
      <alignment horizontal="center"/>
      <protection/>
    </xf>
    <xf numFmtId="4" fontId="7" fillId="3" borderId="30" xfId="53" applyNumberFormat="1" applyFont="1" applyFill="1" applyBorder="1" applyAlignment="1">
      <alignment horizontal="center"/>
      <protection/>
    </xf>
    <xf numFmtId="0" fontId="7" fillId="4" borderId="8" xfId="53" applyFont="1" applyFill="1" applyBorder="1" applyAlignment="1">
      <alignment horizontal="center"/>
      <protection/>
    </xf>
    <xf numFmtId="0" fontId="7" fillId="4" borderId="10" xfId="53" applyFont="1" applyFill="1" applyBorder="1" applyAlignment="1">
      <alignment horizontal="center"/>
      <protection/>
    </xf>
    <xf numFmtId="0" fontId="7" fillId="4" borderId="10" xfId="53" applyFont="1" applyFill="1" applyBorder="1">
      <alignment/>
      <protection/>
    </xf>
    <xf numFmtId="0" fontId="7" fillId="4" borderId="12" xfId="53" applyFont="1" applyFill="1" applyBorder="1">
      <alignment/>
      <protection/>
    </xf>
    <xf numFmtId="0" fontId="7" fillId="4" borderId="32" xfId="53" applyFont="1" applyFill="1" applyBorder="1" applyAlignment="1">
      <alignment horizontal="right"/>
      <protection/>
    </xf>
    <xf numFmtId="208" fontId="7" fillId="3" borderId="40" xfId="53" applyNumberFormat="1" applyFont="1" applyFill="1" applyBorder="1">
      <alignment/>
      <protection/>
    </xf>
    <xf numFmtId="0" fontId="7" fillId="5" borderId="4" xfId="53" applyFont="1" applyFill="1" applyBorder="1" applyAlignment="1">
      <alignment horizontal="center"/>
      <protection/>
    </xf>
    <xf numFmtId="0" fontId="7" fillId="4" borderId="5" xfId="53" applyFont="1" applyFill="1" applyBorder="1" applyAlignment="1">
      <alignment horizontal="center"/>
      <protection/>
    </xf>
    <xf numFmtId="208" fontId="7" fillId="5" borderId="5" xfId="53" applyNumberFormat="1" applyFont="1" applyFill="1" applyBorder="1" applyAlignment="1">
      <alignment horizontal="center"/>
      <protection/>
    </xf>
    <xf numFmtId="208" fontId="7" fillId="3" borderId="5" xfId="53" applyNumberFormat="1" applyFont="1" applyFill="1" applyBorder="1" applyAlignment="1">
      <alignment horizontal="right"/>
      <protection/>
    </xf>
    <xf numFmtId="215" fontId="7" fillId="4" borderId="41" xfId="77" applyNumberFormat="1" applyFont="1" applyFill="1" applyBorder="1" applyAlignment="1">
      <alignment/>
    </xf>
    <xf numFmtId="0" fontId="7" fillId="5" borderId="24" xfId="53" applyFont="1" applyFill="1" applyBorder="1" applyAlignment="1">
      <alignment horizontal="center"/>
      <protection/>
    </xf>
    <xf numFmtId="0" fontId="7" fillId="4" borderId="27" xfId="53" applyFont="1" applyFill="1" applyBorder="1" applyAlignment="1">
      <alignment horizontal="center"/>
      <protection/>
    </xf>
    <xf numFmtId="208" fontId="7" fillId="3" borderId="27" xfId="53" applyNumberFormat="1" applyFont="1" applyFill="1" applyBorder="1" applyAlignment="1">
      <alignment horizontal="right"/>
      <protection/>
    </xf>
    <xf numFmtId="208" fontId="7" fillId="3" borderId="27" xfId="53" applyNumberFormat="1" applyFont="1" applyFill="1" applyBorder="1">
      <alignment/>
      <protection/>
    </xf>
    <xf numFmtId="0" fontId="7" fillId="4" borderId="42" xfId="53" applyFont="1" applyFill="1" applyBorder="1" applyAlignment="1">
      <alignment horizontal="center"/>
      <protection/>
    </xf>
    <xf numFmtId="208" fontId="7" fillId="5" borderId="43" xfId="53" applyNumberFormat="1" applyFont="1" applyFill="1" applyBorder="1" applyAlignment="1">
      <alignment horizontal="center"/>
      <protection/>
    </xf>
    <xf numFmtId="0" fontId="7" fillId="4" borderId="37" xfId="53" applyFont="1" applyFill="1" applyBorder="1">
      <alignment/>
      <protection/>
    </xf>
    <xf numFmtId="0" fontId="7" fillId="5" borderId="32" xfId="53" applyFont="1" applyFill="1" applyBorder="1" applyAlignment="1">
      <alignment horizontal="center"/>
      <protection/>
    </xf>
    <xf numFmtId="0" fontId="7" fillId="0" borderId="44" xfId="53" applyFont="1" applyFill="1" applyBorder="1">
      <alignment/>
      <protection/>
    </xf>
    <xf numFmtId="0" fontId="7" fillId="4" borderId="40" xfId="53" applyFont="1" applyFill="1" applyBorder="1">
      <alignment/>
      <protection/>
    </xf>
    <xf numFmtId="2" fontId="7" fillId="0" borderId="0" xfId="53" applyNumberFormat="1" applyFont="1" applyFill="1" applyBorder="1">
      <alignment/>
      <protection/>
    </xf>
    <xf numFmtId="208" fontId="7" fillId="3" borderId="5" xfId="53" applyNumberFormat="1" applyFont="1" applyFill="1" applyBorder="1" applyAlignment="1">
      <alignment horizontal="center"/>
      <protection/>
    </xf>
    <xf numFmtId="0" fontId="7" fillId="3" borderId="16" xfId="53" applyFont="1" applyFill="1" applyBorder="1">
      <alignment/>
      <protection/>
    </xf>
    <xf numFmtId="0" fontId="11" fillId="4" borderId="22" xfId="57" applyFont="1" applyFill="1" applyBorder="1" applyProtection="1">
      <alignment/>
      <protection locked="0"/>
    </xf>
    <xf numFmtId="208" fontId="11" fillId="4" borderId="21" xfId="57" applyNumberFormat="1" applyFont="1" applyFill="1" applyBorder="1" applyProtection="1">
      <alignment/>
      <protection locked="0"/>
    </xf>
    <xf numFmtId="0" fontId="7" fillId="4" borderId="45" xfId="53" applyFont="1" applyFill="1" applyBorder="1">
      <alignment/>
      <protection/>
    </xf>
    <xf numFmtId="0" fontId="11" fillId="4" borderId="18" xfId="57" applyFont="1" applyFill="1" applyBorder="1" applyProtection="1">
      <alignment/>
      <protection locked="0"/>
    </xf>
    <xf numFmtId="208" fontId="11" fillId="5" borderId="15" xfId="57" applyNumberFormat="1" applyFont="1" applyFill="1" applyBorder="1" applyProtection="1">
      <alignment/>
      <protection locked="0"/>
    </xf>
    <xf numFmtId="0" fontId="11" fillId="5" borderId="16" xfId="57" applyFont="1" applyFill="1" applyBorder="1" applyProtection="1">
      <alignment/>
      <protection locked="0"/>
    </xf>
    <xf numFmtId="208" fontId="7" fillId="3" borderId="46" xfId="53" applyNumberFormat="1" applyFont="1" applyFill="1" applyBorder="1" applyAlignment="1">
      <alignment horizontal="right"/>
      <protection/>
    </xf>
    <xf numFmtId="208" fontId="11" fillId="3" borderId="47" xfId="57" applyNumberFormat="1" applyFont="1" applyFill="1" applyBorder="1" applyProtection="1">
      <alignment/>
      <protection locked="0"/>
    </xf>
    <xf numFmtId="208" fontId="12" fillId="3" borderId="16" xfId="57" applyNumberFormat="1" applyFont="1" applyFill="1" applyBorder="1" applyAlignment="1" applyProtection="1">
      <alignment horizontal="right"/>
      <protection locked="0"/>
    </xf>
    <xf numFmtId="208" fontId="7" fillId="3" borderId="9" xfId="53" applyNumberFormat="1" applyFont="1" applyFill="1" applyBorder="1" applyAlignment="1">
      <alignment horizontal="center"/>
      <protection/>
    </xf>
    <xf numFmtId="208" fontId="7" fillId="3" borderId="16" xfId="53" applyNumberFormat="1" applyFont="1" applyFill="1" applyBorder="1">
      <alignment/>
      <protection/>
    </xf>
    <xf numFmtId="208" fontId="7" fillId="3" borderId="48" xfId="53" applyNumberFormat="1" applyFont="1" applyFill="1" applyBorder="1">
      <alignment/>
      <protection/>
    </xf>
    <xf numFmtId="208" fontId="7" fillId="3" borderId="46" xfId="53" applyNumberFormat="1" applyFont="1" applyFill="1" applyBorder="1">
      <alignment/>
      <protection/>
    </xf>
    <xf numFmtId="0" fontId="11" fillId="4" borderId="49" xfId="57" applyFont="1" applyFill="1" applyBorder="1" applyProtection="1">
      <alignment/>
      <protection locked="0"/>
    </xf>
    <xf numFmtId="0" fontId="11" fillId="3" borderId="41" xfId="57" applyFont="1" applyFill="1" applyBorder="1" applyProtection="1">
      <alignment/>
      <protection locked="0"/>
    </xf>
    <xf numFmtId="208" fontId="11" fillId="3" borderId="46" xfId="57" applyNumberFormat="1" applyFont="1" applyFill="1" applyBorder="1" applyProtection="1">
      <alignment/>
      <protection locked="0"/>
    </xf>
    <xf numFmtId="208" fontId="7" fillId="3" borderId="9" xfId="53" applyNumberFormat="1" applyFont="1" applyFill="1" applyBorder="1">
      <alignment/>
      <protection/>
    </xf>
    <xf numFmtId="0" fontId="11" fillId="3" borderId="16" xfId="57" applyFont="1" applyFill="1" applyBorder="1" applyProtection="1">
      <alignment/>
      <protection locked="0"/>
    </xf>
    <xf numFmtId="208" fontId="11" fillId="3" borderId="7" xfId="57" applyNumberFormat="1" applyFont="1" applyFill="1" applyBorder="1" applyProtection="1">
      <alignment/>
      <protection locked="0"/>
    </xf>
    <xf numFmtId="208" fontId="7" fillId="3" borderId="15" xfId="53" applyNumberFormat="1" applyFont="1" applyFill="1" applyBorder="1">
      <alignment/>
      <protection/>
    </xf>
    <xf numFmtId="211" fontId="11" fillId="3" borderId="47" xfId="57" applyNumberFormat="1" applyFont="1" applyFill="1" applyBorder="1" applyProtection="1">
      <alignment/>
      <protection locked="0"/>
    </xf>
    <xf numFmtId="0" fontId="7" fillId="3" borderId="48" xfId="53" applyFont="1" applyFill="1" applyBorder="1">
      <alignment/>
      <protection/>
    </xf>
    <xf numFmtId="0" fontId="7" fillId="3" borderId="0" xfId="53" applyFont="1" applyFill="1" applyBorder="1">
      <alignment/>
      <protection/>
    </xf>
    <xf numFmtId="211" fontId="7" fillId="3" borderId="16" xfId="53" applyNumberFormat="1" applyFont="1" applyFill="1" applyBorder="1">
      <alignment/>
      <protection/>
    </xf>
    <xf numFmtId="212" fontId="7" fillId="3" borderId="16" xfId="53" applyNumberFormat="1" applyFont="1" applyFill="1" applyBorder="1">
      <alignment/>
      <protection/>
    </xf>
    <xf numFmtId="0" fontId="11" fillId="4" borderId="50" xfId="57" applyFont="1" applyFill="1" applyBorder="1" applyProtection="1">
      <alignment/>
      <protection locked="0"/>
    </xf>
    <xf numFmtId="0" fontId="11" fillId="3" borderId="42" xfId="57" applyFont="1" applyFill="1" applyBorder="1" applyProtection="1">
      <alignment/>
      <protection locked="0"/>
    </xf>
    <xf numFmtId="208" fontId="11" fillId="3" borderId="51" xfId="57" applyNumberFormat="1" applyFont="1" applyFill="1" applyBorder="1" applyProtection="1">
      <alignment/>
      <protection locked="0"/>
    </xf>
    <xf numFmtId="0" fontId="7" fillId="3" borderId="44" xfId="53" applyFont="1" applyFill="1" applyBorder="1">
      <alignment/>
      <protection/>
    </xf>
    <xf numFmtId="212" fontId="7" fillId="3" borderId="52" xfId="53" applyNumberFormat="1" applyFont="1" applyFill="1" applyBorder="1">
      <alignment/>
      <protection/>
    </xf>
    <xf numFmtId="0" fontId="11" fillId="4" borderId="53" xfId="57" applyFont="1" applyFill="1" applyBorder="1" applyProtection="1">
      <alignment/>
      <protection locked="0"/>
    </xf>
    <xf numFmtId="0" fontId="11" fillId="3" borderId="33" xfId="57" applyFont="1" applyFill="1" applyBorder="1" applyProtection="1">
      <alignment/>
      <protection locked="0"/>
    </xf>
    <xf numFmtId="208" fontId="11" fillId="3" borderId="52" xfId="57" applyNumberFormat="1" applyFont="1" applyFill="1" applyBorder="1" applyProtection="1">
      <alignment/>
      <protection locked="0"/>
    </xf>
    <xf numFmtId="0" fontId="7" fillId="2" borderId="54" xfId="53" applyFont="1" applyFill="1" applyBorder="1" applyAlignment="1">
      <alignment horizontal="center"/>
      <protection/>
    </xf>
    <xf numFmtId="0" fontId="7" fillId="2" borderId="3" xfId="53" applyFont="1" applyFill="1" applyBorder="1" applyAlignment="1">
      <alignment horizontal="center"/>
      <protection/>
    </xf>
    <xf numFmtId="0" fontId="7" fillId="2" borderId="31" xfId="53" applyFont="1" applyFill="1" applyBorder="1" applyAlignment="1">
      <alignment horizontal="center"/>
      <protection/>
    </xf>
    <xf numFmtId="0" fontId="7" fillId="2" borderId="16" xfId="53" applyFont="1" applyFill="1" applyBorder="1" applyAlignment="1">
      <alignment horizontal="left"/>
      <protection/>
    </xf>
    <xf numFmtId="208" fontId="7" fillId="2" borderId="16" xfId="53" applyNumberFormat="1" applyFont="1" applyFill="1" applyBorder="1">
      <alignment/>
      <protection/>
    </xf>
    <xf numFmtId="208" fontId="7" fillId="2" borderId="45" xfId="53" applyNumberFormat="1" applyFont="1" applyFill="1" applyBorder="1">
      <alignment/>
      <protection/>
    </xf>
    <xf numFmtId="208" fontId="10" fillId="2" borderId="16" xfId="53" applyNumberFormat="1" applyFont="1" applyFill="1" applyBorder="1">
      <alignment/>
      <protection/>
    </xf>
    <xf numFmtId="208" fontId="7" fillId="2" borderId="39" xfId="53" applyNumberFormat="1" applyFont="1" applyFill="1" applyBorder="1">
      <alignment/>
      <protection/>
    </xf>
    <xf numFmtId="208" fontId="10" fillId="2" borderId="45" xfId="53" applyNumberFormat="1" applyFont="1" applyFill="1" applyBorder="1">
      <alignment/>
      <protection/>
    </xf>
    <xf numFmtId="208" fontId="7" fillId="2" borderId="26" xfId="53" applyNumberFormat="1" applyFont="1" applyFill="1" applyBorder="1">
      <alignment/>
      <protection/>
    </xf>
    <xf numFmtId="0" fontId="7" fillId="2" borderId="26" xfId="53" applyFont="1" applyFill="1" applyBorder="1">
      <alignment/>
      <protection/>
    </xf>
    <xf numFmtId="208" fontId="7" fillId="2" borderId="30" xfId="53" applyNumberFormat="1" applyFont="1" applyFill="1" applyBorder="1">
      <alignment/>
      <protection/>
    </xf>
    <xf numFmtId="0" fontId="7" fillId="4" borderId="2" xfId="57" applyFont="1" applyFill="1" applyBorder="1" applyAlignment="1">
      <alignment horizontal="right"/>
      <protection/>
    </xf>
    <xf numFmtId="0" fontId="7" fillId="4" borderId="54" xfId="57" applyFont="1" applyFill="1" applyBorder="1" applyAlignment="1">
      <alignment horizontal="right"/>
      <protection/>
    </xf>
    <xf numFmtId="0" fontId="7" fillId="4" borderId="31" xfId="57" applyFont="1" applyFill="1" applyBorder="1" applyAlignment="1">
      <alignment horizontal="right"/>
      <protection/>
    </xf>
    <xf numFmtId="0" fontId="7" fillId="4" borderId="18" xfId="57" applyFont="1" applyFill="1" applyBorder="1" applyAlignment="1">
      <alignment horizontal="right"/>
      <protection/>
    </xf>
    <xf numFmtId="0" fontId="7" fillId="4" borderId="0" xfId="57" applyFont="1" applyFill="1" applyBorder="1" applyAlignment="1">
      <alignment horizontal="right"/>
      <protection/>
    </xf>
    <xf numFmtId="211" fontId="7" fillId="4" borderId="47" xfId="57" applyNumberFormat="1" applyFont="1" applyFill="1" applyBorder="1">
      <alignment/>
      <protection/>
    </xf>
    <xf numFmtId="211" fontId="7" fillId="4" borderId="0" xfId="57" applyNumberFormat="1" applyFont="1" applyFill="1" applyBorder="1">
      <alignment/>
      <protection/>
    </xf>
    <xf numFmtId="211" fontId="7" fillId="4" borderId="16" xfId="57" applyNumberFormat="1" applyFont="1" applyFill="1" applyBorder="1">
      <alignment/>
      <protection/>
    </xf>
    <xf numFmtId="211" fontId="7" fillId="4" borderId="9" xfId="57" applyNumberFormat="1" applyFont="1" applyFill="1" applyBorder="1">
      <alignment/>
      <protection/>
    </xf>
    <xf numFmtId="211" fontId="7" fillId="4" borderId="21" xfId="57" applyNumberFormat="1" applyFont="1" applyFill="1" applyBorder="1">
      <alignment/>
      <protection/>
    </xf>
    <xf numFmtId="211" fontId="7" fillId="4" borderId="45" xfId="57" applyNumberFormat="1" applyFont="1" applyFill="1" applyBorder="1">
      <alignment/>
      <protection/>
    </xf>
    <xf numFmtId="211" fontId="7" fillId="3" borderId="7" xfId="57" applyNumberFormat="1" applyFont="1" applyFill="1" applyBorder="1">
      <alignment/>
      <protection/>
    </xf>
    <xf numFmtId="0" fontId="7" fillId="0" borderId="16" xfId="53" applyFont="1" applyFill="1" applyBorder="1">
      <alignment/>
      <protection/>
    </xf>
    <xf numFmtId="0" fontId="7" fillId="4" borderId="55" xfId="53" applyFont="1" applyFill="1" applyBorder="1">
      <alignment/>
      <protection/>
    </xf>
    <xf numFmtId="0" fontId="7" fillId="4" borderId="18" xfId="53" applyFont="1" applyFill="1" applyBorder="1">
      <alignment/>
      <protection/>
    </xf>
    <xf numFmtId="0" fontId="7" fillId="4" borderId="39" xfId="57" applyFont="1" applyFill="1" applyBorder="1" applyAlignment="1">
      <alignment horizontal="right"/>
      <protection/>
    </xf>
    <xf numFmtId="211" fontId="7" fillId="3" borderId="39" xfId="57" applyNumberFormat="1" applyFont="1" applyFill="1" applyBorder="1" applyAlignment="1">
      <alignment horizontal="right"/>
      <protection/>
    </xf>
    <xf numFmtId="211" fontId="7" fillId="3" borderId="5" xfId="57" applyNumberFormat="1" applyFont="1" applyFill="1" applyBorder="1" applyAlignment="1">
      <alignment horizontal="right"/>
      <protection/>
    </xf>
    <xf numFmtId="211" fontId="7" fillId="3" borderId="41" xfId="57" applyNumberFormat="1" applyFont="1" applyFill="1" applyBorder="1" applyAlignment="1">
      <alignment horizontal="right"/>
      <protection/>
    </xf>
    <xf numFmtId="211" fontId="7" fillId="3" borderId="56" xfId="57" applyNumberFormat="1" applyFont="1" applyFill="1" applyBorder="1" applyAlignment="1">
      <alignment horizontal="right"/>
      <protection/>
    </xf>
    <xf numFmtId="0" fontId="7" fillId="0" borderId="52" xfId="53" applyFont="1" applyFill="1" applyBorder="1">
      <alignment/>
      <protection/>
    </xf>
    <xf numFmtId="0" fontId="7" fillId="4" borderId="36" xfId="53" applyFont="1" applyFill="1" applyBorder="1">
      <alignment/>
      <protection/>
    </xf>
    <xf numFmtId="44" fontId="7" fillId="5" borderId="5" xfId="77" applyFont="1" applyFill="1" applyBorder="1" applyAlignment="1">
      <alignment/>
    </xf>
    <xf numFmtId="0" fontId="7" fillId="4" borderId="57" xfId="53" applyFont="1" applyFill="1" applyBorder="1">
      <alignment/>
      <protection/>
    </xf>
    <xf numFmtId="0" fontId="7" fillId="0" borderId="53" xfId="53" applyFont="1" applyFill="1" applyBorder="1">
      <alignment/>
      <protection/>
    </xf>
    <xf numFmtId="0" fontId="7" fillId="4" borderId="27" xfId="53" applyFont="1" applyFill="1" applyBorder="1" applyAlignment="1">
      <alignment horizontal="right"/>
      <protection/>
    </xf>
    <xf numFmtId="0" fontId="7" fillId="4" borderId="9" xfId="53" applyFont="1" applyFill="1" applyBorder="1" applyAlignment="1">
      <alignment horizontal="center"/>
      <protection/>
    </xf>
    <xf numFmtId="203" fontId="7" fillId="5" borderId="5" xfId="53" applyNumberFormat="1" applyFont="1" applyFill="1" applyBorder="1">
      <alignment/>
      <protection/>
    </xf>
    <xf numFmtId="215" fontId="7" fillId="3" borderId="5" xfId="53" applyNumberFormat="1" applyFont="1" applyFill="1" applyBorder="1">
      <alignment/>
      <protection/>
    </xf>
    <xf numFmtId="44" fontId="7" fillId="3" borderId="5" xfId="53" applyNumberFormat="1" applyFont="1" applyFill="1" applyBorder="1">
      <alignment/>
      <protection/>
    </xf>
    <xf numFmtId="208" fontId="7" fillId="3" borderId="58" xfId="53" applyNumberFormat="1" applyFont="1" applyFill="1" applyBorder="1">
      <alignment/>
      <protection/>
    </xf>
    <xf numFmtId="208" fontId="7" fillId="3" borderId="25" xfId="53" applyNumberFormat="1" applyFont="1" applyFill="1" applyBorder="1">
      <alignment/>
      <protection/>
    </xf>
    <xf numFmtId="218" fontId="7" fillId="3" borderId="47" xfId="53" applyNumberFormat="1" applyFont="1" applyFill="1" applyBorder="1">
      <alignment/>
      <protection/>
    </xf>
    <xf numFmtId="0" fontId="7" fillId="4" borderId="47" xfId="53" applyFont="1" applyFill="1" applyBorder="1" applyAlignment="1">
      <alignment horizontal="right"/>
      <protection/>
    </xf>
    <xf numFmtId="218" fontId="7" fillId="3" borderId="9" xfId="53" applyNumberFormat="1" applyFont="1" applyFill="1" applyBorder="1">
      <alignment/>
      <protection/>
    </xf>
    <xf numFmtId="0" fontId="7" fillId="4" borderId="47" xfId="57" applyFont="1" applyFill="1" applyBorder="1" applyAlignment="1">
      <alignment horizontal="right"/>
      <protection/>
    </xf>
    <xf numFmtId="218" fontId="7" fillId="3" borderId="41" xfId="53" applyNumberFormat="1" applyFont="1" applyFill="1" applyBorder="1">
      <alignment/>
      <protection/>
    </xf>
    <xf numFmtId="0" fontId="7" fillId="4" borderId="33" xfId="57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horizontal="right"/>
      <protection/>
    </xf>
    <xf numFmtId="0" fontId="7" fillId="4" borderId="4" xfId="53" applyFont="1" applyFill="1" applyBorder="1" applyAlignment="1">
      <alignment horizontal="center"/>
      <protection/>
    </xf>
    <xf numFmtId="0" fontId="7" fillId="4" borderId="7" xfId="53" applyFont="1" applyFill="1" applyBorder="1" applyAlignment="1">
      <alignment horizontal="center"/>
      <protection/>
    </xf>
    <xf numFmtId="9" fontId="7" fillId="5" borderId="24" xfId="50" applyFont="1" applyFill="1" applyBorder="1" applyAlignment="1">
      <alignment horizontal="center"/>
    </xf>
    <xf numFmtId="9" fontId="7" fillId="5" borderId="27" xfId="50" applyFont="1" applyFill="1" applyBorder="1" applyAlignment="1">
      <alignment horizontal="center"/>
    </xf>
    <xf numFmtId="9" fontId="7" fillId="5" borderId="25" xfId="50" applyFont="1" applyFill="1" applyBorder="1" applyAlignment="1">
      <alignment horizontal="center"/>
    </xf>
    <xf numFmtId="6" fontId="7" fillId="3" borderId="5" xfId="53" applyNumberFormat="1" applyFont="1" applyFill="1" applyBorder="1" applyAlignment="1">
      <alignment horizontal="center"/>
      <protection/>
    </xf>
    <xf numFmtId="6" fontId="7" fillId="3" borderId="7" xfId="53" applyNumberFormat="1" applyFont="1" applyFill="1" applyBorder="1" applyAlignment="1">
      <alignment horizontal="center"/>
      <protection/>
    </xf>
    <xf numFmtId="218" fontId="7" fillId="3" borderId="35" xfId="53" applyNumberFormat="1" applyFont="1" applyFill="1" applyBorder="1" applyAlignment="1">
      <alignment horizontal="right"/>
      <protection/>
    </xf>
    <xf numFmtId="202" fontId="7" fillId="3" borderId="5" xfId="53" applyNumberFormat="1" applyFont="1" applyFill="1" applyBorder="1" applyAlignment="1">
      <alignment horizontal="center"/>
      <protection/>
    </xf>
    <xf numFmtId="202" fontId="7" fillId="3" borderId="7" xfId="53" applyNumberFormat="1" applyFont="1" applyFill="1" applyBorder="1" applyAlignment="1">
      <alignment horizontal="center"/>
      <protection/>
    </xf>
    <xf numFmtId="218" fontId="7" fillId="3" borderId="37" xfId="53" applyNumberFormat="1" applyFont="1" applyFill="1" applyBorder="1" applyAlignment="1">
      <alignment horizontal="right"/>
      <protection/>
    </xf>
    <xf numFmtId="211" fontId="7" fillId="3" borderId="5" xfId="53" applyNumberFormat="1" applyFont="1" applyFill="1" applyBorder="1" applyAlignment="1">
      <alignment horizontal="center"/>
      <protection/>
    </xf>
    <xf numFmtId="211" fontId="7" fillId="3" borderId="7" xfId="53" applyNumberFormat="1" applyFont="1" applyFill="1" applyBorder="1" applyAlignment="1">
      <alignment horizontal="center"/>
      <protection/>
    </xf>
    <xf numFmtId="9" fontId="7" fillId="3" borderId="5" xfId="50" applyNumberFormat="1" applyFont="1" applyFill="1" applyBorder="1" applyAlignment="1">
      <alignment horizontal="center"/>
    </xf>
    <xf numFmtId="9" fontId="7" fillId="3" borderId="7" xfId="50" applyNumberFormat="1" applyFont="1" applyFill="1" applyBorder="1" applyAlignment="1">
      <alignment horizontal="center"/>
    </xf>
    <xf numFmtId="0" fontId="7" fillId="4" borderId="57" xfId="53" applyFont="1" applyFill="1" applyBorder="1" applyAlignment="1">
      <alignment horizontal="right"/>
      <protection/>
    </xf>
    <xf numFmtId="218" fontId="7" fillId="3" borderId="58" xfId="53" applyNumberFormat="1" applyFont="1" applyFill="1" applyBorder="1" applyAlignment="1">
      <alignment horizontal="right"/>
      <protection/>
    </xf>
    <xf numFmtId="218" fontId="7" fillId="3" borderId="40" xfId="53" applyNumberFormat="1" applyFont="1" applyFill="1" applyBorder="1" applyAlignment="1">
      <alignment horizontal="right"/>
      <protection/>
    </xf>
    <xf numFmtId="218" fontId="7" fillId="3" borderId="27" xfId="53" applyNumberFormat="1" applyFont="1" applyFill="1" applyBorder="1" applyAlignment="1">
      <alignment horizontal="center"/>
      <protection/>
    </xf>
    <xf numFmtId="218" fontId="7" fillId="3" borderId="30" xfId="53" applyNumberFormat="1" applyFont="1" applyFill="1" applyBorder="1" applyAlignment="1">
      <alignment horizontal="center"/>
      <protection/>
    </xf>
    <xf numFmtId="0" fontId="7" fillId="4" borderId="8" xfId="53" applyFont="1" applyFill="1" applyBorder="1" applyAlignment="1">
      <alignment/>
      <protection/>
    </xf>
    <xf numFmtId="0" fontId="7" fillId="4" borderId="13" xfId="53" applyFont="1" applyFill="1" applyBorder="1" applyAlignment="1">
      <alignment/>
      <protection/>
    </xf>
    <xf numFmtId="222" fontId="7" fillId="3" borderId="5" xfId="53" applyNumberFormat="1" applyFont="1" applyFill="1" applyBorder="1" applyAlignment="1">
      <alignment horizontal="right"/>
      <protection/>
    </xf>
    <xf numFmtId="222" fontId="7" fillId="3" borderId="7" xfId="53" applyNumberFormat="1" applyFont="1" applyFill="1" applyBorder="1" applyAlignment="1">
      <alignment horizontal="right"/>
      <protection/>
    </xf>
    <xf numFmtId="6" fontId="7" fillId="3" borderId="5" xfId="53" applyNumberFormat="1" applyFont="1" applyFill="1" applyBorder="1" applyAlignment="1">
      <alignment/>
      <protection/>
    </xf>
    <xf numFmtId="6" fontId="7" fillId="3" borderId="7" xfId="53" applyNumberFormat="1" applyFont="1" applyFill="1" applyBorder="1" applyAlignment="1">
      <alignment/>
      <protection/>
    </xf>
    <xf numFmtId="44" fontId="7" fillId="3" borderId="5" xfId="53" applyNumberFormat="1" applyFont="1" applyFill="1" applyBorder="1" applyAlignment="1">
      <alignment/>
      <protection/>
    </xf>
    <xf numFmtId="44" fontId="7" fillId="3" borderId="7" xfId="53" applyNumberFormat="1" applyFont="1" applyFill="1" applyBorder="1" applyAlignment="1">
      <alignment/>
      <protection/>
    </xf>
    <xf numFmtId="8" fontId="7" fillId="3" borderId="5" xfId="53" applyNumberFormat="1" applyFont="1" applyFill="1" applyBorder="1" applyAlignment="1">
      <alignment/>
      <protection/>
    </xf>
    <xf numFmtId="8" fontId="7" fillId="3" borderId="7" xfId="53" applyNumberFormat="1" applyFont="1" applyFill="1" applyBorder="1" applyAlignment="1">
      <alignment/>
      <protection/>
    </xf>
    <xf numFmtId="8" fontId="7" fillId="3" borderId="27" xfId="53" applyNumberFormat="1" applyFont="1" applyFill="1" applyBorder="1" applyAlignment="1">
      <alignment/>
      <protection/>
    </xf>
    <xf numFmtId="8" fontId="7" fillId="3" borderId="25" xfId="53" applyNumberFormat="1" applyFont="1" applyFill="1" applyBorder="1" applyAlignment="1">
      <alignment/>
      <protection/>
    </xf>
    <xf numFmtId="0" fontId="7" fillId="4" borderId="14" xfId="53" applyFont="1" applyFill="1" applyBorder="1">
      <alignment/>
      <protection/>
    </xf>
    <xf numFmtId="6" fontId="7" fillId="3" borderId="15" xfId="53" applyNumberFormat="1" applyFont="1" applyFill="1" applyBorder="1" applyAlignment="1">
      <alignment horizontal="right"/>
      <protection/>
    </xf>
    <xf numFmtId="6" fontId="7" fillId="3" borderId="16" xfId="53" applyNumberFormat="1" applyFont="1" applyFill="1" applyBorder="1" applyAlignment="1">
      <alignment horizontal="right"/>
      <protection/>
    </xf>
    <xf numFmtId="0" fontId="7" fillId="4" borderId="39" xfId="53" applyFont="1" applyFill="1" applyBorder="1">
      <alignment/>
      <protection/>
    </xf>
    <xf numFmtId="44" fontId="7" fillId="3" borderId="47" xfId="53" applyNumberFormat="1" applyFont="1" applyFill="1" applyBorder="1" applyAlignment="1">
      <alignment horizontal="right"/>
      <protection/>
    </xf>
    <xf numFmtId="44" fontId="7" fillId="3" borderId="16" xfId="53" applyNumberFormat="1" applyFont="1" applyFill="1" applyBorder="1" applyAlignment="1">
      <alignment horizontal="right"/>
      <protection/>
    </xf>
    <xf numFmtId="6" fontId="7" fillId="3" borderId="47" xfId="53" applyNumberFormat="1" applyFont="1" applyFill="1" applyBorder="1" applyAlignment="1">
      <alignment horizontal="right"/>
      <protection/>
    </xf>
    <xf numFmtId="222" fontId="7" fillId="3" borderId="47" xfId="53" applyNumberFormat="1" applyFont="1" applyFill="1" applyBorder="1" applyAlignment="1">
      <alignment horizontal="right"/>
      <protection/>
    </xf>
    <xf numFmtId="222" fontId="7" fillId="3" borderId="16" xfId="53" applyNumberFormat="1" applyFont="1" applyFill="1" applyBorder="1" applyAlignment="1">
      <alignment horizontal="right"/>
      <protection/>
    </xf>
    <xf numFmtId="0" fontId="8" fillId="4" borderId="18" xfId="53" applyFont="1" applyFill="1" applyBorder="1">
      <alignment/>
      <protection/>
    </xf>
    <xf numFmtId="6" fontId="7" fillId="3" borderId="14" xfId="53" applyNumberFormat="1" applyFont="1" applyFill="1" applyBorder="1">
      <alignment/>
      <protection/>
    </xf>
    <xf numFmtId="6" fontId="7" fillId="3" borderId="35" xfId="53" applyNumberFormat="1" applyFont="1" applyFill="1" applyBorder="1">
      <alignment/>
      <protection/>
    </xf>
    <xf numFmtId="6" fontId="7" fillId="3" borderId="9" xfId="53" applyNumberFormat="1" applyFont="1" applyFill="1" applyBorder="1">
      <alignment/>
      <protection/>
    </xf>
    <xf numFmtId="6" fontId="7" fillId="3" borderId="20" xfId="53" applyNumberFormat="1" applyFont="1" applyFill="1" applyBorder="1">
      <alignment/>
      <protection/>
    </xf>
    <xf numFmtId="6" fontId="7" fillId="3" borderId="58" xfId="53" applyNumberFormat="1" applyFont="1" applyFill="1" applyBorder="1">
      <alignment/>
      <protection/>
    </xf>
    <xf numFmtId="6" fontId="7" fillId="3" borderId="39" xfId="53" applyNumberFormat="1" applyFont="1" applyFill="1" applyBorder="1">
      <alignment/>
      <protection/>
    </xf>
    <xf numFmtId="6" fontId="7" fillId="3" borderId="37" xfId="53" applyNumberFormat="1" applyFont="1" applyFill="1" applyBorder="1">
      <alignment/>
      <protection/>
    </xf>
    <xf numFmtId="0" fontId="8" fillId="4" borderId="59" xfId="53" applyFont="1" applyFill="1" applyBorder="1">
      <alignment/>
      <protection/>
    </xf>
    <xf numFmtId="6" fontId="7" fillId="3" borderId="60" xfId="53" applyNumberFormat="1" applyFont="1" applyFill="1" applyBorder="1">
      <alignment/>
      <protection/>
    </xf>
    <xf numFmtId="6" fontId="7" fillId="3" borderId="61" xfId="53" applyNumberFormat="1" applyFont="1" applyFill="1" applyBorder="1">
      <alignment/>
      <protection/>
    </xf>
    <xf numFmtId="6" fontId="7" fillId="3" borderId="40" xfId="53" applyNumberFormat="1" applyFont="1" applyFill="1" applyBorder="1">
      <alignment/>
      <protection/>
    </xf>
    <xf numFmtId="6" fontId="7" fillId="3" borderId="62" xfId="53" applyNumberFormat="1" applyFont="1" applyFill="1" applyBorder="1">
      <alignment/>
      <protection/>
    </xf>
    <xf numFmtId="6" fontId="7" fillId="3" borderId="45" xfId="53" applyNumberFormat="1" applyFont="1" applyFill="1" applyBorder="1">
      <alignment/>
      <protection/>
    </xf>
    <xf numFmtId="6" fontId="7" fillId="3" borderId="16" xfId="53" applyNumberFormat="1" applyFont="1" applyFill="1" applyBorder="1">
      <alignment/>
      <protection/>
    </xf>
    <xf numFmtId="6" fontId="7" fillId="3" borderId="63" xfId="53" applyNumberFormat="1" applyFont="1" applyFill="1" applyBorder="1">
      <alignment/>
      <protection/>
    </xf>
    <xf numFmtId="6" fontId="7" fillId="3" borderId="13" xfId="53" applyNumberFormat="1" applyFont="1" applyFill="1" applyBorder="1">
      <alignment/>
      <protection/>
    </xf>
    <xf numFmtId="6" fontId="7" fillId="3" borderId="12" xfId="53" applyNumberFormat="1" applyFont="1" applyFill="1" applyBorder="1">
      <alignment/>
      <protection/>
    </xf>
    <xf numFmtId="0" fontId="7" fillId="4" borderId="53" xfId="53" applyFont="1" applyFill="1" applyBorder="1">
      <alignment/>
      <protection/>
    </xf>
    <xf numFmtId="6" fontId="7" fillId="3" borderId="56" xfId="53" applyNumberFormat="1" applyFont="1" applyFill="1" applyBorder="1">
      <alignment/>
      <protection/>
    </xf>
    <xf numFmtId="6" fontId="7" fillId="3" borderId="52" xfId="53" applyNumberFormat="1" applyFont="1" applyFill="1" applyBorder="1">
      <alignment/>
      <protection/>
    </xf>
    <xf numFmtId="6" fontId="7" fillId="3" borderId="5" xfId="53" applyNumberFormat="1" applyFont="1" applyFill="1" applyBorder="1">
      <alignment/>
      <protection/>
    </xf>
    <xf numFmtId="0" fontId="7" fillId="4" borderId="1" xfId="53" applyFont="1" applyFill="1" applyBorder="1" applyAlignment="1">
      <alignment horizontal="left"/>
      <protection/>
    </xf>
    <xf numFmtId="0" fontId="7" fillId="4" borderId="4" xfId="53" applyFont="1" applyFill="1" applyBorder="1" applyAlignment="1">
      <alignment horizontal="left"/>
      <protection/>
    </xf>
    <xf numFmtId="212" fontId="7" fillId="3" borderId="5" xfId="53" applyNumberFormat="1" applyFont="1" applyFill="1" applyBorder="1">
      <alignment/>
      <protection/>
    </xf>
    <xf numFmtId="218" fontId="7" fillId="3" borderId="5" xfId="53" applyNumberFormat="1" applyFont="1" applyFill="1" applyBorder="1">
      <alignment/>
      <protection/>
    </xf>
    <xf numFmtId="9" fontId="7" fillId="3" borderId="5" xfId="50" applyFont="1" applyFill="1" applyBorder="1" applyAlignment="1">
      <alignment/>
    </xf>
    <xf numFmtId="9" fontId="8" fillId="4" borderId="5" xfId="53" applyNumberFormat="1" applyFont="1" applyFill="1" applyBorder="1" applyAlignment="1" quotePrefix="1">
      <alignment horizontal="center"/>
      <protection/>
    </xf>
    <xf numFmtId="9" fontId="8" fillId="4" borderId="7" xfId="53" applyNumberFormat="1" applyFont="1" applyFill="1" applyBorder="1" applyAlignment="1" quotePrefix="1">
      <alignment horizontal="center"/>
      <protection/>
    </xf>
    <xf numFmtId="218" fontId="7" fillId="3" borderId="7" xfId="53" applyNumberFormat="1" applyFont="1" applyFill="1" applyBorder="1">
      <alignment/>
      <protection/>
    </xf>
    <xf numFmtId="10" fontId="7" fillId="3" borderId="5" xfId="50" applyNumberFormat="1" applyFont="1" applyFill="1" applyBorder="1" applyAlignment="1">
      <alignment/>
    </xf>
    <xf numFmtId="10" fontId="7" fillId="3" borderId="7" xfId="50" applyNumberFormat="1" applyFont="1" applyFill="1" applyBorder="1" applyAlignment="1">
      <alignment/>
    </xf>
    <xf numFmtId="218" fontId="7" fillId="3" borderId="27" xfId="53" applyNumberFormat="1" applyFont="1" applyFill="1" applyBorder="1">
      <alignment/>
      <protection/>
    </xf>
    <xf numFmtId="218" fontId="7" fillId="3" borderId="25" xfId="53" applyNumberFormat="1" applyFont="1" applyFill="1" applyBorder="1">
      <alignment/>
      <protection/>
    </xf>
    <xf numFmtId="9" fontId="9" fillId="0" borderId="7" xfId="50" applyFont="1" applyBorder="1" applyAlignment="1">
      <alignment horizontal="left"/>
    </xf>
    <xf numFmtId="1" fontId="7" fillId="0" borderId="7" xfId="50" applyNumberFormat="1" applyFont="1" applyBorder="1" applyAlignment="1">
      <alignment horizontal="left"/>
    </xf>
    <xf numFmtId="9" fontId="9" fillId="5" borderId="7" xfId="50" applyFont="1" applyFill="1" applyBorder="1" applyAlignment="1">
      <alignment horizontal="left"/>
    </xf>
    <xf numFmtId="186" fontId="7" fillId="0" borderId="5" xfId="50" applyNumberFormat="1" applyFont="1" applyBorder="1" applyAlignment="1">
      <alignment/>
    </xf>
    <xf numFmtId="186" fontId="7" fillId="3" borderId="5" xfId="50" applyNumberFormat="1" applyFont="1" applyFill="1" applyBorder="1" applyAlignment="1">
      <alignment/>
    </xf>
    <xf numFmtId="44" fontId="7" fillId="3" borderId="41" xfId="53" applyNumberFormat="1" applyFont="1" applyFill="1" applyBorder="1" applyAlignment="1">
      <alignment/>
      <protection/>
    </xf>
    <xf numFmtId="174" fontId="7" fillId="3" borderId="6" xfId="53" applyNumberFormat="1" applyFont="1" applyFill="1" applyBorder="1" applyAlignment="1">
      <alignment horizontal="center"/>
      <protection/>
    </xf>
    <xf numFmtId="174" fontId="7" fillId="3" borderId="10" xfId="53" applyNumberFormat="1" applyFont="1" applyFill="1" applyBorder="1" applyAlignment="1">
      <alignment horizontal="center"/>
      <protection/>
    </xf>
    <xf numFmtId="174" fontId="7" fillId="3" borderId="12" xfId="53" applyNumberFormat="1" applyFont="1" applyFill="1" applyBorder="1" applyAlignment="1">
      <alignment horizontal="center"/>
      <protection/>
    </xf>
    <xf numFmtId="0" fontId="7" fillId="4" borderId="17" xfId="53" applyFont="1" applyFill="1" applyBorder="1" applyAlignment="1">
      <alignment horizontal="right"/>
      <protection/>
    </xf>
    <xf numFmtId="0" fontId="7" fillId="4" borderId="8" xfId="53" applyFont="1" applyFill="1" applyBorder="1" applyAlignment="1">
      <alignment horizontal="right"/>
      <protection/>
    </xf>
    <xf numFmtId="0" fontId="7" fillId="4" borderId="18" xfId="53" applyFont="1" applyFill="1" applyBorder="1" applyAlignment="1">
      <alignment horizontal="right"/>
      <protection/>
    </xf>
    <xf numFmtId="0" fontId="7" fillId="4" borderId="22" xfId="53" applyFont="1" applyFill="1" applyBorder="1" applyAlignment="1">
      <alignment horizontal="right"/>
      <protection/>
    </xf>
    <xf numFmtId="0" fontId="7" fillId="4" borderId="24" xfId="53" applyFont="1" applyFill="1" applyBorder="1" applyAlignment="1">
      <alignment horizontal="center"/>
      <protection/>
    </xf>
    <xf numFmtId="0" fontId="7" fillId="4" borderId="1" xfId="53" applyFont="1" applyFill="1" applyBorder="1" applyAlignment="1">
      <alignment horizontal="center"/>
      <protection/>
    </xf>
    <xf numFmtId="0" fontId="7" fillId="4" borderId="64" xfId="53" applyFont="1" applyFill="1" applyBorder="1" applyAlignment="1">
      <alignment horizontal="center"/>
      <protection/>
    </xf>
    <xf numFmtId="208" fontId="7" fillId="0" borderId="7" xfId="53" applyNumberFormat="1" applyFont="1" applyFill="1" applyBorder="1">
      <alignment/>
      <protection/>
    </xf>
    <xf numFmtId="202" fontId="7" fillId="5" borderId="5" xfId="57" applyNumberFormat="1" applyFont="1" applyFill="1" applyBorder="1" applyAlignment="1" applyProtection="1">
      <alignment horizontal="center"/>
      <protection locked="0"/>
    </xf>
    <xf numFmtId="208" fontId="7" fillId="3" borderId="48" xfId="57" applyNumberFormat="1" applyFont="1" applyFill="1" applyBorder="1" applyProtection="1">
      <alignment/>
      <protection locked="0"/>
    </xf>
    <xf numFmtId="0" fontId="7" fillId="4" borderId="58" xfId="53" applyFont="1" applyFill="1" applyBorder="1" applyAlignment="1">
      <alignment horizontal="center"/>
      <protection/>
    </xf>
    <xf numFmtId="0" fontId="7" fillId="4" borderId="39" xfId="0" applyFont="1" applyFill="1" applyBorder="1" applyAlignment="1">
      <alignment horizontal="right"/>
    </xf>
    <xf numFmtId="0" fontId="7" fillId="4" borderId="60" xfId="0" applyFont="1" applyFill="1" applyBorder="1" applyAlignment="1">
      <alignment horizontal="right"/>
    </xf>
    <xf numFmtId="0" fontId="7" fillId="4" borderId="56" xfId="0" applyFont="1" applyFill="1" applyBorder="1" applyAlignment="1">
      <alignment horizontal="right"/>
    </xf>
    <xf numFmtId="0" fontId="8" fillId="4" borderId="5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7" fillId="4" borderId="24" xfId="0" applyFont="1" applyFill="1" applyBorder="1" applyAlignment="1">
      <alignment horizontal="left"/>
    </xf>
    <xf numFmtId="202" fontId="7" fillId="5" borderId="2" xfId="0" applyNumberFormat="1" applyFont="1" applyFill="1" applyBorder="1" applyAlignment="1">
      <alignment/>
    </xf>
    <xf numFmtId="202" fontId="7" fillId="3" borderId="64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0" borderId="7" xfId="0" applyFont="1" applyBorder="1" applyAlignment="1">
      <alignment horizontal="left"/>
    </xf>
    <xf numFmtId="6" fontId="7" fillId="5" borderId="5" xfId="0" applyNumberFormat="1" applyFont="1" applyFill="1" applyBorder="1" applyAlignment="1">
      <alignment/>
    </xf>
    <xf numFmtId="210" fontId="7" fillId="3" borderId="41" xfId="0" applyNumberFormat="1" applyFont="1" applyFill="1" applyBorder="1" applyAlignment="1">
      <alignment/>
    </xf>
    <xf numFmtId="210" fontId="7" fillId="3" borderId="38" xfId="0" applyNumberFormat="1" applyFont="1" applyFill="1" applyBorder="1" applyAlignment="1">
      <alignment horizontal="right"/>
    </xf>
    <xf numFmtId="210" fontId="7" fillId="3" borderId="65" xfId="0" applyNumberFormat="1" applyFont="1" applyFill="1" applyBorder="1" applyAlignment="1">
      <alignment/>
    </xf>
    <xf numFmtId="210" fontId="7" fillId="3" borderId="66" xfId="0" applyNumberFormat="1" applyFont="1" applyFill="1" applyBorder="1" applyAlignment="1">
      <alignment horizontal="right"/>
    </xf>
    <xf numFmtId="210" fontId="7" fillId="3" borderId="9" xfId="0" applyNumberFormat="1" applyFont="1" applyFill="1" applyBorder="1" applyAlignment="1">
      <alignment/>
    </xf>
    <xf numFmtId="0" fontId="8" fillId="3" borderId="58" xfId="0" applyFont="1" applyFill="1" applyBorder="1" applyAlignment="1">
      <alignment/>
    </xf>
    <xf numFmtId="209" fontId="7" fillId="3" borderId="9" xfId="0" applyNumberFormat="1" applyFont="1" applyFill="1" applyBorder="1" applyAlignment="1">
      <alignment/>
    </xf>
    <xf numFmtId="0" fontId="7" fillId="0" borderId="58" xfId="0" applyFont="1" applyBorder="1" applyAlignment="1">
      <alignment horizontal="left"/>
    </xf>
    <xf numFmtId="210" fontId="7" fillId="3" borderId="5" xfId="0" applyNumberFormat="1" applyFont="1" applyFill="1" applyBorder="1" applyAlignment="1">
      <alignment/>
    </xf>
    <xf numFmtId="227" fontId="7" fillId="3" borderId="5" xfId="0" applyNumberFormat="1" applyFont="1" applyFill="1" applyBorder="1" applyAlignment="1">
      <alignment/>
    </xf>
    <xf numFmtId="226" fontId="7" fillId="3" borderId="5" xfId="0" applyNumberFormat="1" applyFont="1" applyFill="1" applyBorder="1" applyAlignment="1">
      <alignment/>
    </xf>
    <xf numFmtId="226" fontId="7" fillId="3" borderId="7" xfId="0" applyNumberFormat="1" applyFont="1" applyFill="1" applyBorder="1" applyAlignment="1">
      <alignment horizontal="right"/>
    </xf>
    <xf numFmtId="6" fontId="7" fillId="3" borderId="5" xfId="0" applyNumberFormat="1" applyFont="1" applyFill="1" applyBorder="1" applyAlignment="1">
      <alignment/>
    </xf>
    <xf numFmtId="6" fontId="7" fillId="3" borderId="7" xfId="0" applyNumberFormat="1" applyFont="1" applyFill="1" applyBorder="1" applyAlignment="1">
      <alignment/>
    </xf>
    <xf numFmtId="3" fontId="7" fillId="0" borderId="7" xfId="15" applyNumberFormat="1" applyFont="1" applyBorder="1" applyAlignment="1">
      <alignment horizontal="left"/>
    </xf>
    <xf numFmtId="3" fontId="7" fillId="0" borderId="64" xfId="15" applyNumberFormat="1" applyFont="1" applyBorder="1" applyAlignment="1">
      <alignment horizontal="left"/>
    </xf>
    <xf numFmtId="0" fontId="7" fillId="5" borderId="7" xfId="0" applyFont="1" applyFill="1" applyBorder="1" applyAlignment="1">
      <alignment horizontal="left"/>
    </xf>
    <xf numFmtId="210" fontId="7" fillId="3" borderId="7" xfId="0" applyNumberFormat="1" applyFont="1" applyFill="1" applyBorder="1" applyAlignment="1">
      <alignment/>
    </xf>
    <xf numFmtId="9" fontId="9" fillId="5" borderId="5" xfId="0" applyNumberFormat="1" applyFont="1" applyFill="1" applyBorder="1" applyAlignment="1">
      <alignment/>
    </xf>
    <xf numFmtId="8" fontId="7" fillId="3" borderId="27" xfId="0" applyNumberFormat="1" applyFont="1" applyFill="1" applyBorder="1" applyAlignment="1">
      <alignment/>
    </xf>
    <xf numFmtId="0" fontId="7" fillId="0" borderId="25" xfId="0" applyFont="1" applyBorder="1" applyAlignment="1">
      <alignment horizontal="left"/>
    </xf>
    <xf numFmtId="0" fontId="7" fillId="0" borderId="0" xfId="0" applyFont="1" applyBorder="1" applyAlignment="1">
      <alignment/>
    </xf>
    <xf numFmtId="210" fontId="7" fillId="3" borderId="35" xfId="0" applyNumberFormat="1" applyFont="1" applyFill="1" applyBorder="1" applyAlignment="1">
      <alignment/>
    </xf>
    <xf numFmtId="209" fontId="7" fillId="3" borderId="15" xfId="0" applyNumberFormat="1" applyFont="1" applyFill="1" applyBorder="1" applyAlignment="1">
      <alignment/>
    </xf>
    <xf numFmtId="185" fontId="7" fillId="0" borderId="35" xfId="50" applyNumberFormat="1" applyFont="1" applyBorder="1" applyAlignment="1">
      <alignment/>
    </xf>
    <xf numFmtId="209" fontId="7" fillId="3" borderId="2" xfId="0" applyNumberFormat="1" applyFont="1" applyFill="1" applyBorder="1" applyAlignment="1">
      <alignment/>
    </xf>
    <xf numFmtId="185" fontId="7" fillId="0" borderId="64" xfId="50" applyNumberFormat="1" applyFont="1" applyBorder="1" applyAlignment="1">
      <alignment/>
    </xf>
    <xf numFmtId="0" fontId="7" fillId="0" borderId="18" xfId="0" applyFont="1" applyBorder="1" applyAlignment="1">
      <alignment/>
    </xf>
    <xf numFmtId="209" fontId="7" fillId="3" borderId="5" xfId="0" applyNumberFormat="1" applyFont="1" applyFill="1" applyBorder="1" applyAlignment="1">
      <alignment/>
    </xf>
    <xf numFmtId="1" fontId="9" fillId="0" borderId="5" xfId="0" applyNumberFormat="1" applyFont="1" applyFill="1" applyBorder="1" applyAlignment="1">
      <alignment horizontal="right"/>
    </xf>
    <xf numFmtId="210" fontId="7" fillId="3" borderId="64" xfId="0" applyNumberFormat="1" applyFont="1" applyFill="1" applyBorder="1" applyAlignment="1">
      <alignment/>
    </xf>
    <xf numFmtId="210" fontId="7" fillId="0" borderId="35" xfId="0" applyNumberFormat="1" applyFont="1" applyFill="1" applyBorder="1" applyAlignment="1">
      <alignment/>
    </xf>
    <xf numFmtId="210" fontId="7" fillId="3" borderId="37" xfId="0" applyNumberFormat="1" applyFont="1" applyFill="1" applyBorder="1" applyAlignment="1">
      <alignment/>
    </xf>
    <xf numFmtId="209" fontId="7" fillId="0" borderId="2" xfId="53" applyNumberFormat="1" applyFont="1" applyFill="1" applyBorder="1">
      <alignment/>
      <protection/>
    </xf>
    <xf numFmtId="0" fontId="7" fillId="0" borderId="25" xfId="53" applyFont="1" applyFill="1" applyBorder="1">
      <alignment/>
      <protection/>
    </xf>
    <xf numFmtId="209" fontId="7" fillId="0" borderId="47" xfId="53" applyNumberFormat="1" applyFont="1" applyFill="1" applyBorder="1">
      <alignment/>
      <protection/>
    </xf>
    <xf numFmtId="209" fontId="7" fillId="3" borderId="5" xfId="53" applyNumberFormat="1" applyFont="1" applyFill="1" applyBorder="1">
      <alignment/>
      <protection/>
    </xf>
    <xf numFmtId="230" fontId="8" fillId="3" borderId="27" xfId="50" applyNumberFormat="1" applyFont="1" applyFill="1" applyBorder="1" applyAlignment="1">
      <alignment/>
    </xf>
    <xf numFmtId="0" fontId="7" fillId="0" borderId="37" xfId="0" applyFont="1" applyBorder="1" applyAlignment="1">
      <alignment horizontal="left"/>
    </xf>
    <xf numFmtId="0" fontId="7" fillId="0" borderId="58" xfId="0" applyFont="1" applyBorder="1" applyAlignment="1">
      <alignment/>
    </xf>
    <xf numFmtId="0" fontId="7" fillId="0" borderId="67" xfId="0" applyFont="1" applyBorder="1" applyAlignment="1">
      <alignment horizontal="left"/>
    </xf>
    <xf numFmtId="3" fontId="7" fillId="0" borderId="35" xfId="15" applyNumberFormat="1" applyFont="1" applyBorder="1" applyAlignment="1">
      <alignment horizontal="left"/>
    </xf>
    <xf numFmtId="185" fontId="7" fillId="0" borderId="68" xfId="50" applyNumberFormat="1" applyFont="1" applyBorder="1" applyAlignment="1">
      <alignment/>
    </xf>
    <xf numFmtId="185" fontId="9" fillId="0" borderId="40" xfId="50" applyNumberFormat="1" applyFont="1" applyFill="1" applyBorder="1" applyAlignment="1">
      <alignment/>
    </xf>
    <xf numFmtId="10" fontId="7" fillId="0" borderId="37" xfId="50" applyNumberFormat="1" applyFont="1" applyBorder="1" applyAlignment="1">
      <alignment horizontal="left"/>
    </xf>
    <xf numFmtId="1" fontId="9" fillId="0" borderId="58" xfId="50" applyNumberFormat="1" applyFont="1" applyBorder="1" applyAlignment="1">
      <alignment horizontal="left"/>
    </xf>
    <xf numFmtId="185" fontId="7" fillId="0" borderId="37" xfId="50" applyNumberFormat="1" applyFont="1" applyBorder="1" applyAlignment="1">
      <alignment/>
    </xf>
    <xf numFmtId="3" fontId="7" fillId="0" borderId="37" xfId="0" applyNumberFormat="1" applyFont="1" applyBorder="1" applyAlignment="1">
      <alignment horizontal="left"/>
    </xf>
    <xf numFmtId="9" fontId="7" fillId="0" borderId="58" xfId="50" applyFont="1" applyBorder="1" applyAlignment="1">
      <alignment/>
    </xf>
    <xf numFmtId="3" fontId="7" fillId="0" borderId="35" xfId="0" applyNumberFormat="1" applyFont="1" applyBorder="1" applyAlignment="1">
      <alignment horizontal="left"/>
    </xf>
    <xf numFmtId="185" fontId="7" fillId="0" borderId="37" xfId="0" applyNumberFormat="1" applyFont="1" applyBorder="1" applyAlignment="1">
      <alignment horizontal="center"/>
    </xf>
    <xf numFmtId="185" fontId="7" fillId="0" borderId="58" xfId="0" applyNumberFormat="1" applyFont="1" applyBorder="1" applyAlignment="1">
      <alignment horizontal="center"/>
    </xf>
    <xf numFmtId="209" fontId="7" fillId="3" borderId="47" xfId="0" applyNumberFormat="1" applyFont="1" applyFill="1" applyBorder="1" applyAlignment="1">
      <alignment/>
    </xf>
    <xf numFmtId="0" fontId="7" fillId="0" borderId="40" xfId="0" applyFont="1" applyFill="1" applyBorder="1" applyAlignment="1">
      <alignment horizontal="left"/>
    </xf>
    <xf numFmtId="210" fontId="7" fillId="0" borderId="37" xfId="0" applyNumberFormat="1" applyFont="1" applyFill="1" applyBorder="1" applyAlignment="1">
      <alignment/>
    </xf>
    <xf numFmtId="210" fontId="7" fillId="0" borderId="40" xfId="0" applyNumberFormat="1" applyFont="1" applyFill="1" applyBorder="1" applyAlignment="1">
      <alignment/>
    </xf>
    <xf numFmtId="222" fontId="7" fillId="0" borderId="5" xfId="0" applyNumberFormat="1" applyFont="1" applyFill="1" applyBorder="1" applyAlignment="1">
      <alignment/>
    </xf>
    <xf numFmtId="0" fontId="7" fillId="4" borderId="4" xfId="53" applyFont="1" applyFill="1" applyBorder="1" applyAlignment="1">
      <alignment/>
      <protection/>
    </xf>
    <xf numFmtId="211" fontId="7" fillId="3" borderId="15" xfId="53" applyNumberFormat="1" applyFont="1" applyFill="1" applyBorder="1" applyAlignment="1">
      <alignment horizontal="center"/>
      <protection/>
    </xf>
    <xf numFmtId="211" fontId="7" fillId="3" borderId="35" xfId="53" applyNumberFormat="1" applyFont="1" applyFill="1" applyBorder="1" applyAlignment="1">
      <alignment horizontal="center"/>
      <protection/>
    </xf>
    <xf numFmtId="202" fontId="7" fillId="3" borderId="2" xfId="53" applyNumberFormat="1" applyFont="1" applyFill="1" applyBorder="1" applyAlignment="1">
      <alignment horizontal="center"/>
      <protection/>
    </xf>
    <xf numFmtId="202" fontId="7" fillId="3" borderId="64" xfId="53" applyNumberFormat="1" applyFont="1" applyFill="1" applyBorder="1" applyAlignment="1">
      <alignment horizontal="center"/>
      <protection/>
    </xf>
    <xf numFmtId="0" fontId="7" fillId="4" borderId="69" xfId="53" applyFont="1" applyFill="1" applyBorder="1" applyAlignment="1">
      <alignment horizontal="right"/>
      <protection/>
    </xf>
    <xf numFmtId="218" fontId="7" fillId="3" borderId="70" xfId="53" applyNumberFormat="1" applyFont="1" applyFill="1" applyBorder="1">
      <alignment/>
      <protection/>
    </xf>
    <xf numFmtId="0" fontId="7" fillId="4" borderId="70" xfId="53" applyFont="1" applyFill="1" applyBorder="1" applyAlignment="1">
      <alignment horizontal="right"/>
      <protection/>
    </xf>
    <xf numFmtId="208" fontId="7" fillId="3" borderId="68" xfId="53" applyNumberFormat="1" applyFont="1" applyFill="1" applyBorder="1">
      <alignment/>
      <protection/>
    </xf>
    <xf numFmtId="208" fontId="7" fillId="3" borderId="37" xfId="53" applyNumberFormat="1" applyFont="1" applyFill="1" applyBorder="1" applyAlignment="1">
      <alignment horizontal="right"/>
      <protection/>
    </xf>
    <xf numFmtId="218" fontId="7" fillId="3" borderId="58" xfId="53" applyNumberFormat="1" applyFont="1" applyFill="1" applyBorder="1">
      <alignment/>
      <protection/>
    </xf>
    <xf numFmtId="218" fontId="7" fillId="3" borderId="40" xfId="53" applyNumberFormat="1" applyFont="1" applyFill="1" applyBorder="1">
      <alignment/>
      <protection/>
    </xf>
    <xf numFmtId="0" fontId="7" fillId="0" borderId="71" xfId="53" applyFont="1" applyFill="1" applyBorder="1">
      <alignment/>
      <protection/>
    </xf>
    <xf numFmtId="211" fontId="7" fillId="3" borderId="16" xfId="57" applyNumberFormat="1" applyFont="1" applyFill="1" applyBorder="1">
      <alignment/>
      <protection/>
    </xf>
    <xf numFmtId="211" fontId="7" fillId="3" borderId="16" xfId="57" applyNumberFormat="1" applyFont="1" applyFill="1" applyBorder="1" applyAlignment="1">
      <alignment horizontal="right"/>
      <protection/>
    </xf>
    <xf numFmtId="0" fontId="7" fillId="4" borderId="19" xfId="57" applyFont="1" applyFill="1" applyBorder="1" applyAlignment="1">
      <alignment horizontal="right"/>
      <protection/>
    </xf>
    <xf numFmtId="211" fontId="7" fillId="3" borderId="58" xfId="57" applyNumberFormat="1" applyFont="1" applyFill="1" applyBorder="1">
      <alignment/>
      <protection/>
    </xf>
    <xf numFmtId="212" fontId="7" fillId="3" borderId="25" xfId="57" applyNumberFormat="1" applyFont="1" applyFill="1" applyBorder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7" fillId="4" borderId="36" xfId="53" applyFont="1" applyFill="1" applyBorder="1" applyAlignment="1">
      <alignment horizontal="center"/>
      <protection/>
    </xf>
    <xf numFmtId="208" fontId="7" fillId="3" borderId="7" xfId="53" applyNumberFormat="1" applyFont="1" applyFill="1" applyBorder="1" applyAlignment="1">
      <alignment/>
      <protection/>
    </xf>
    <xf numFmtId="0" fontId="7" fillId="3" borderId="7" xfId="53" applyFont="1" applyFill="1" applyBorder="1" applyAlignment="1">
      <alignment/>
      <protection/>
    </xf>
    <xf numFmtId="208" fontId="8" fillId="3" borderId="58" xfId="53" applyNumberFormat="1" applyFont="1" applyFill="1" applyBorder="1" applyAlignment="1">
      <alignment/>
      <protection/>
    </xf>
    <xf numFmtId="208" fontId="7" fillId="3" borderId="64" xfId="53" applyNumberFormat="1" applyFont="1" applyFill="1" applyBorder="1" applyAlignment="1">
      <alignment/>
      <protection/>
    </xf>
    <xf numFmtId="0" fontId="7" fillId="3" borderId="25" xfId="53" applyFont="1" applyFill="1" applyBorder="1" applyAlignment="1">
      <alignment/>
      <protection/>
    </xf>
    <xf numFmtId="208" fontId="8" fillId="3" borderId="37" xfId="53" applyNumberFormat="1" applyFont="1" applyFill="1" applyBorder="1" applyAlignment="1">
      <alignment/>
      <protection/>
    </xf>
    <xf numFmtId="208" fontId="7" fillId="3" borderId="25" xfId="53" applyNumberFormat="1" applyFont="1" applyFill="1" applyBorder="1" applyAlignment="1">
      <alignment/>
      <protection/>
    </xf>
    <xf numFmtId="208" fontId="8" fillId="3" borderId="35" xfId="53" applyNumberFormat="1" applyFont="1" applyFill="1" applyBorder="1" applyAlignment="1">
      <alignment/>
      <protection/>
    </xf>
    <xf numFmtId="10" fontId="7" fillId="3" borderId="25" xfId="50" applyNumberFormat="1" applyFont="1" applyFill="1" applyBorder="1" applyAlignment="1">
      <alignment/>
    </xf>
    <xf numFmtId="9" fontId="7" fillId="3" borderId="25" xfId="50" applyFont="1" applyFill="1" applyBorder="1" applyAlignment="1">
      <alignment/>
    </xf>
    <xf numFmtId="0" fontId="7" fillId="4" borderId="47" xfId="53" applyFont="1" applyFill="1" applyBorder="1" applyAlignment="1">
      <alignment horizontal="center"/>
      <protection/>
    </xf>
    <xf numFmtId="0" fontId="7" fillId="4" borderId="47" xfId="0" applyFont="1" applyFill="1" applyBorder="1" applyAlignment="1">
      <alignment horizontal="center"/>
    </xf>
    <xf numFmtId="3" fontId="7" fillId="0" borderId="64" xfId="15" applyNumberFormat="1" applyFont="1" applyBorder="1" applyAlignment="1">
      <alignment horizontal="right"/>
    </xf>
    <xf numFmtId="186" fontId="7" fillId="3" borderId="7" xfId="50" applyNumberFormat="1" applyFont="1" applyFill="1" applyBorder="1" applyAlignment="1">
      <alignment horizontal="right"/>
    </xf>
    <xf numFmtId="210" fontId="7" fillId="3" borderId="7" xfId="0" applyNumberFormat="1" applyFont="1" applyFill="1" applyBorder="1" applyAlignment="1">
      <alignment horizontal="right"/>
    </xf>
    <xf numFmtId="209" fontId="7" fillId="3" borderId="9" xfId="53" applyNumberFormat="1" applyFont="1" applyFill="1" applyBorder="1">
      <alignment/>
      <protection/>
    </xf>
    <xf numFmtId="211" fontId="7" fillId="3" borderId="33" xfId="57" applyNumberFormat="1" applyFont="1" applyFill="1" applyBorder="1">
      <alignment/>
      <protection/>
    </xf>
    <xf numFmtId="211" fontId="7" fillId="3" borderId="27" xfId="57" applyNumberFormat="1" applyFont="1" applyFill="1" applyBorder="1">
      <alignment/>
      <protection/>
    </xf>
    <xf numFmtId="211" fontId="7" fillId="3" borderId="25" xfId="57" applyNumberFormat="1" applyFont="1" applyFill="1" applyBorder="1">
      <alignment/>
      <protection/>
    </xf>
    <xf numFmtId="8" fontId="7" fillId="4" borderId="69" xfId="61" applyFont="1" applyFill="1" applyBorder="1" applyAlignment="1">
      <alignment horizontal="left"/>
    </xf>
    <xf numFmtId="8" fontId="7" fillId="4" borderId="55" xfId="61" applyFont="1" applyFill="1" applyBorder="1" applyAlignment="1">
      <alignment horizontal="left"/>
    </xf>
    <xf numFmtId="8" fontId="7" fillId="4" borderId="17" xfId="61" applyFont="1" applyFill="1" applyBorder="1" applyAlignment="1">
      <alignment horizontal="left"/>
    </xf>
    <xf numFmtId="8" fontId="7" fillId="4" borderId="18" xfId="61" applyFont="1" applyFill="1" applyBorder="1" applyAlignment="1">
      <alignment horizontal="left"/>
    </xf>
    <xf numFmtId="0" fontId="7" fillId="4" borderId="24" xfId="53" applyFont="1" applyFill="1" applyBorder="1" applyAlignment="1">
      <alignment horizontal="left"/>
      <protection/>
    </xf>
    <xf numFmtId="0" fontId="8" fillId="4" borderId="32" xfId="53" applyFont="1" applyFill="1" applyBorder="1" applyAlignment="1">
      <alignment horizontal="center"/>
      <protection/>
    </xf>
    <xf numFmtId="10" fontId="8" fillId="3" borderId="40" xfId="53" applyNumberFormat="1" applyFont="1" applyFill="1" applyBorder="1" applyAlignment="1">
      <alignment/>
      <protection/>
    </xf>
    <xf numFmtId="49" fontId="6" fillId="3" borderId="5" xfId="53" applyNumberFormat="1" applyFont="1" applyFill="1" applyBorder="1" applyAlignment="1">
      <alignment horizontal="center" vertical="center"/>
      <protection/>
    </xf>
    <xf numFmtId="0" fontId="6" fillId="3" borderId="5" xfId="53" applyFont="1" applyFill="1" applyBorder="1" applyAlignment="1">
      <alignment horizontal="center" vertical="center"/>
      <protection/>
    </xf>
    <xf numFmtId="0" fontId="14" fillId="0" borderId="0" xfId="53" applyFont="1" applyFill="1" applyBorder="1" applyAlignment="1">
      <alignment vertical="center"/>
      <protection/>
    </xf>
    <xf numFmtId="203" fontId="14" fillId="2" borderId="72" xfId="53" applyNumberFormat="1" applyFont="1" applyFill="1" applyBorder="1" applyAlignment="1">
      <alignment vertical="center"/>
      <protection/>
    </xf>
    <xf numFmtId="8" fontId="14" fillId="2" borderId="72" xfId="53" applyNumberFormat="1" applyFont="1" applyFill="1" applyBorder="1" applyAlignment="1">
      <alignment vertical="center"/>
      <protection/>
    </xf>
    <xf numFmtId="202" fontId="14" fillId="2" borderId="72" xfId="53" applyNumberFormat="1" applyFont="1" applyFill="1" applyBorder="1" applyAlignment="1">
      <alignment vertical="center"/>
      <protection/>
    </xf>
    <xf numFmtId="0" fontId="14" fillId="2" borderId="72" xfId="53" applyFont="1" applyFill="1" applyBorder="1" applyAlignment="1">
      <alignment horizontal="center" vertical="center"/>
      <protection/>
    </xf>
    <xf numFmtId="8" fontId="14" fillId="2" borderId="72" xfId="53" applyNumberFormat="1" applyFont="1" applyFill="1" applyBorder="1" applyAlignment="1">
      <alignment horizontal="center" vertical="center"/>
      <protection/>
    </xf>
    <xf numFmtId="218" fontId="14" fillId="2" borderId="72" xfId="53" applyNumberFormat="1" applyFont="1" applyFill="1" applyBorder="1" applyAlignment="1">
      <alignment vertical="center"/>
      <protection/>
    </xf>
    <xf numFmtId="0" fontId="14" fillId="2" borderId="0" xfId="53" applyFont="1" applyFill="1" applyBorder="1" applyAlignment="1">
      <alignment horizontal="left" vertical="center"/>
      <protection/>
    </xf>
    <xf numFmtId="0" fontId="14" fillId="2" borderId="39" xfId="53" applyFont="1" applyFill="1" applyBorder="1" applyAlignment="1">
      <alignment horizontal="left" vertical="center"/>
      <protection/>
    </xf>
    <xf numFmtId="0" fontId="14" fillId="2" borderId="19" xfId="53" applyFont="1" applyFill="1" applyBorder="1" applyAlignment="1">
      <alignment horizontal="left" vertical="center"/>
      <protection/>
    </xf>
    <xf numFmtId="208" fontId="14" fillId="2" borderId="0" xfId="53" applyNumberFormat="1" applyFont="1" applyFill="1" applyBorder="1" applyAlignment="1">
      <alignment vertical="center"/>
      <protection/>
    </xf>
    <xf numFmtId="208" fontId="14" fillId="2" borderId="20" xfId="53" applyNumberFormat="1" applyFont="1" applyFill="1" applyBorder="1" applyAlignment="1">
      <alignment vertical="center"/>
      <protection/>
    </xf>
    <xf numFmtId="208" fontId="15" fillId="2" borderId="0" xfId="53" applyNumberFormat="1" applyFont="1" applyFill="1" applyBorder="1" applyAlignment="1">
      <alignment vertical="center"/>
      <protection/>
    </xf>
    <xf numFmtId="0" fontId="14" fillId="0" borderId="0" xfId="53" applyFont="1" applyFill="1" applyBorder="1" applyAlignment="1">
      <alignment horizontal="center" vertical="center"/>
      <protection/>
    </xf>
    <xf numFmtId="208" fontId="15" fillId="2" borderId="21" xfId="53" applyNumberFormat="1" applyFont="1" applyFill="1" applyBorder="1" applyAlignment="1">
      <alignment vertical="center"/>
      <protection/>
    </xf>
    <xf numFmtId="0" fontId="14" fillId="2" borderId="23" xfId="53" applyFont="1" applyFill="1" applyBorder="1" applyAlignment="1">
      <alignment vertical="center"/>
      <protection/>
    </xf>
    <xf numFmtId="9" fontId="14" fillId="2" borderId="72" xfId="50" applyFont="1" applyFill="1" applyBorder="1" applyAlignment="1">
      <alignment horizontal="center" vertical="center"/>
    </xf>
    <xf numFmtId="208" fontId="14" fillId="2" borderId="72" xfId="53" applyNumberFormat="1" applyFont="1" applyFill="1" applyBorder="1" applyAlignment="1">
      <alignment horizontal="center" vertical="center"/>
      <protection/>
    </xf>
    <xf numFmtId="205" fontId="14" fillId="2" borderId="72" xfId="53" applyNumberFormat="1" applyFont="1" applyFill="1" applyBorder="1" applyAlignment="1">
      <alignment horizontal="center" vertical="center"/>
      <protection/>
    </xf>
    <xf numFmtId="0" fontId="14" fillId="2" borderId="72" xfId="53" applyFont="1" applyFill="1" applyBorder="1" applyAlignment="1">
      <alignment horizontal="right" vertical="center"/>
      <protection/>
    </xf>
    <xf numFmtId="186" fontId="14" fillId="2" borderId="72" xfId="50" applyNumberFormat="1" applyFont="1" applyFill="1" applyBorder="1" applyAlignment="1">
      <alignment horizontal="center" vertical="center"/>
    </xf>
    <xf numFmtId="0" fontId="14" fillId="2" borderId="72" xfId="53" applyFont="1" applyFill="1" applyBorder="1" applyAlignment="1">
      <alignment horizontal="left" vertical="center"/>
      <protection/>
    </xf>
    <xf numFmtId="208" fontId="14" fillId="2" borderId="72" xfId="53" applyNumberFormat="1" applyFont="1" applyFill="1" applyBorder="1" applyAlignment="1">
      <alignment vertical="center"/>
      <protection/>
    </xf>
    <xf numFmtId="0" fontId="14" fillId="4" borderId="72" xfId="53" applyFont="1" applyFill="1" applyBorder="1" applyAlignment="1">
      <alignment horizontal="right" vertical="center"/>
      <protection/>
    </xf>
    <xf numFmtId="0" fontId="14" fillId="4" borderId="72" xfId="53" applyFont="1" applyFill="1" applyBorder="1" applyAlignment="1">
      <alignment horizontal="center" vertical="center"/>
      <protection/>
    </xf>
    <xf numFmtId="202" fontId="14" fillId="0" borderId="72" xfId="53" applyNumberFormat="1" applyFont="1" applyFill="1" applyBorder="1" applyAlignment="1">
      <alignment vertical="center"/>
      <protection/>
    </xf>
    <xf numFmtId="0" fontId="14" fillId="4" borderId="73" xfId="53" applyFont="1" applyFill="1" applyBorder="1" applyAlignment="1">
      <alignment horizontal="center" vertical="center"/>
      <protection/>
    </xf>
    <xf numFmtId="208" fontId="14" fillId="0" borderId="72" xfId="53" applyNumberFormat="1" applyFont="1" applyFill="1" applyBorder="1" applyAlignment="1">
      <alignment horizontal="center" vertical="center"/>
      <protection/>
    </xf>
    <xf numFmtId="208" fontId="14" fillId="0" borderId="72" xfId="53" applyNumberFormat="1" applyFont="1" applyFill="1" applyBorder="1" applyAlignment="1">
      <alignment horizontal="right" vertical="center"/>
      <protection/>
    </xf>
    <xf numFmtId="208" fontId="14" fillId="0" borderId="72" xfId="53" applyNumberFormat="1" applyFont="1" applyFill="1" applyBorder="1" applyAlignment="1">
      <alignment vertical="center"/>
      <protection/>
    </xf>
    <xf numFmtId="202" fontId="14" fillId="0" borderId="5" xfId="57" applyNumberFormat="1" applyFont="1" applyFill="1" applyBorder="1" applyAlignment="1" applyProtection="1">
      <alignment horizontal="center" vertical="center"/>
      <protection locked="0"/>
    </xf>
    <xf numFmtId="208" fontId="14" fillId="0" borderId="5" xfId="53" applyNumberFormat="1" applyFont="1" applyFill="1" applyBorder="1" applyAlignment="1">
      <alignment horizontal="center" vertical="center"/>
      <protection/>
    </xf>
    <xf numFmtId="208" fontId="14" fillId="0" borderId="48" xfId="57" applyNumberFormat="1" applyFont="1" applyFill="1" applyBorder="1" applyAlignment="1" applyProtection="1">
      <alignment vertical="center"/>
      <protection locked="0"/>
    </xf>
    <xf numFmtId="208" fontId="14" fillId="0" borderId="9" xfId="53" applyNumberFormat="1" applyFont="1" applyFill="1" applyBorder="1" applyAlignment="1">
      <alignment horizontal="center" vertical="center"/>
      <protection/>
    </xf>
    <xf numFmtId="208" fontId="14" fillId="0" borderId="48" xfId="53" applyNumberFormat="1" applyFont="1" applyFill="1" applyBorder="1" applyAlignment="1">
      <alignment vertical="center"/>
      <protection/>
    </xf>
    <xf numFmtId="208" fontId="14" fillId="0" borderId="9" xfId="53" applyNumberFormat="1" applyFont="1" applyFill="1" applyBorder="1" applyAlignment="1">
      <alignment vertical="center"/>
      <protection/>
    </xf>
    <xf numFmtId="208" fontId="14" fillId="0" borderId="5" xfId="53" applyNumberFormat="1" applyFont="1" applyFill="1" applyBorder="1" applyAlignment="1">
      <alignment vertical="center"/>
      <protection/>
    </xf>
    <xf numFmtId="208" fontId="14" fillId="0" borderId="15" xfId="53" applyNumberFormat="1" applyFont="1" applyFill="1" applyBorder="1" applyAlignment="1">
      <alignment vertical="center"/>
      <protection/>
    </xf>
    <xf numFmtId="0" fontId="14" fillId="0" borderId="48" xfId="53" applyFont="1" applyFill="1" applyBorder="1" applyAlignment="1">
      <alignment vertical="center"/>
      <protection/>
    </xf>
    <xf numFmtId="208" fontId="17" fillId="4" borderId="21" xfId="57" applyNumberFormat="1" applyFont="1" applyFill="1" applyBorder="1" applyAlignment="1" applyProtection="1">
      <alignment vertical="center"/>
      <protection locked="0"/>
    </xf>
    <xf numFmtId="208" fontId="17" fillId="0" borderId="15" xfId="57" applyNumberFormat="1" applyFont="1" applyFill="1" applyBorder="1" applyAlignment="1" applyProtection="1">
      <alignment vertical="center"/>
      <protection locked="0"/>
    </xf>
    <xf numFmtId="208" fontId="17" fillId="0" borderId="47" xfId="57" applyNumberFormat="1" applyFont="1" applyFill="1" applyBorder="1" applyAlignment="1" applyProtection="1">
      <alignment vertical="center"/>
      <protection locked="0"/>
    </xf>
    <xf numFmtId="0" fontId="17" fillId="0" borderId="41" xfId="57" applyFont="1" applyFill="1" applyBorder="1" applyAlignment="1" applyProtection="1">
      <alignment vertical="center"/>
      <protection locked="0"/>
    </xf>
    <xf numFmtId="218" fontId="14" fillId="0" borderId="74" xfId="53" applyNumberFormat="1" applyFont="1" applyFill="1" applyBorder="1" applyAlignment="1">
      <alignment vertical="center"/>
      <protection/>
    </xf>
    <xf numFmtId="9" fontId="6" fillId="4" borderId="72" xfId="53" applyNumberFormat="1" applyFont="1" applyFill="1" applyBorder="1" applyAlignment="1" quotePrefix="1">
      <alignment horizontal="center" vertical="center"/>
      <protection/>
    </xf>
    <xf numFmtId="218" fontId="14" fillId="0" borderId="72" xfId="53" applyNumberFormat="1" applyFont="1" applyFill="1" applyBorder="1" applyAlignment="1">
      <alignment vertical="center"/>
      <protection/>
    </xf>
    <xf numFmtId="10" fontId="14" fillId="0" borderId="72" xfId="50" applyNumberFormat="1" applyFont="1" applyFill="1" applyBorder="1" applyAlignment="1">
      <alignment vertical="center"/>
    </xf>
    <xf numFmtId="211" fontId="17" fillId="0" borderId="47" xfId="57" applyNumberFormat="1" applyFont="1" applyFill="1" applyBorder="1" applyAlignment="1" applyProtection="1">
      <alignment vertical="center"/>
      <protection locked="0"/>
    </xf>
    <xf numFmtId="0" fontId="17" fillId="0" borderId="42" xfId="57" applyFont="1" applyFill="1" applyBorder="1" applyAlignment="1" applyProtection="1">
      <alignment vertical="center"/>
      <protection locked="0"/>
    </xf>
    <xf numFmtId="218" fontId="14" fillId="0" borderId="75" xfId="53" applyNumberFormat="1" applyFont="1" applyFill="1" applyBorder="1" applyAlignment="1">
      <alignment vertical="center"/>
      <protection/>
    </xf>
    <xf numFmtId="208" fontId="14" fillId="2" borderId="39" xfId="53" applyNumberFormat="1" applyFont="1" applyFill="1" applyBorder="1" applyAlignment="1">
      <alignment vertical="center"/>
      <protection/>
    </xf>
    <xf numFmtId="44" fontId="14" fillId="0" borderId="72" xfId="77" applyFont="1" applyFill="1" applyBorder="1" applyAlignment="1">
      <alignment vertical="center"/>
    </xf>
    <xf numFmtId="215" fontId="14" fillId="0" borderId="75" xfId="53" applyNumberFormat="1" applyFont="1" applyFill="1" applyBorder="1" applyAlignment="1">
      <alignment vertical="center"/>
      <protection/>
    </xf>
    <xf numFmtId="44" fontId="14" fillId="0" borderId="72" xfId="53" applyNumberFormat="1" applyFont="1" applyFill="1" applyBorder="1" applyAlignment="1">
      <alignment vertical="center"/>
      <protection/>
    </xf>
    <xf numFmtId="0" fontId="14" fillId="4" borderId="5" xfId="53" applyFont="1" applyFill="1" applyBorder="1" applyAlignment="1">
      <alignment horizontal="center" vertical="center"/>
      <protection/>
    </xf>
    <xf numFmtId="0" fontId="14" fillId="4" borderId="76" xfId="53" applyFont="1" applyFill="1" applyBorder="1" applyAlignment="1">
      <alignment horizontal="right" vertical="center"/>
      <protection/>
    </xf>
    <xf numFmtId="202" fontId="14" fillId="0" borderId="77" xfId="0" applyNumberFormat="1" applyFont="1" applyFill="1" applyBorder="1" applyAlignment="1">
      <alignment vertical="center"/>
    </xf>
    <xf numFmtId="6" fontId="14" fillId="0" borderId="72" xfId="0" applyNumberFormat="1" applyFont="1" applyFill="1" applyBorder="1" applyAlignment="1">
      <alignment vertical="center"/>
    </xf>
    <xf numFmtId="210" fontId="14" fillId="0" borderId="72" xfId="0" applyNumberFormat="1" applyFont="1" applyFill="1" applyBorder="1" applyAlignment="1">
      <alignment vertical="center"/>
    </xf>
    <xf numFmtId="0" fontId="14" fillId="4" borderId="75" xfId="53" applyFont="1" applyFill="1" applyBorder="1" applyAlignment="1">
      <alignment horizontal="right" vertical="center"/>
      <protection/>
    </xf>
    <xf numFmtId="0" fontId="14" fillId="4" borderId="77" xfId="0" applyFont="1" applyFill="1" applyBorder="1" applyAlignment="1">
      <alignment horizontal="right" vertical="center"/>
    </xf>
    <xf numFmtId="0" fontId="14" fillId="4" borderId="72" xfId="0" applyFont="1" applyFill="1" applyBorder="1" applyAlignment="1">
      <alignment horizontal="right" vertical="center"/>
    </xf>
    <xf numFmtId="209" fontId="14" fillId="0" borderId="72" xfId="0" applyNumberFormat="1" applyFont="1" applyFill="1" applyBorder="1" applyAlignment="1">
      <alignment vertical="center"/>
    </xf>
    <xf numFmtId="227" fontId="14" fillId="0" borderId="72" xfId="0" applyNumberFormat="1" applyFont="1" applyFill="1" applyBorder="1" applyAlignment="1">
      <alignment vertical="center"/>
    </xf>
    <xf numFmtId="0" fontId="14" fillId="4" borderId="78" xfId="0" applyFont="1" applyFill="1" applyBorder="1" applyAlignment="1">
      <alignment horizontal="right" vertical="center"/>
    </xf>
    <xf numFmtId="226" fontId="14" fillId="0" borderId="72" xfId="0" applyNumberFormat="1" applyFont="1" applyFill="1" applyBorder="1" applyAlignment="1">
      <alignment vertical="center"/>
    </xf>
    <xf numFmtId="174" fontId="14" fillId="0" borderId="72" xfId="0" applyNumberFormat="1" applyFont="1" applyFill="1" applyBorder="1" applyAlignment="1">
      <alignment horizontal="center" vertical="center"/>
    </xf>
    <xf numFmtId="204" fontId="14" fillId="0" borderId="72" xfId="0" applyNumberFormat="1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/>
    </xf>
    <xf numFmtId="0" fontId="14" fillId="4" borderId="75" xfId="0" applyFont="1" applyFill="1" applyBorder="1" applyAlignment="1">
      <alignment horizontal="right" vertical="center"/>
    </xf>
    <xf numFmtId="186" fontId="14" fillId="0" borderId="72" xfId="50" applyNumberFormat="1" applyFont="1" applyFill="1" applyBorder="1" applyAlignment="1">
      <alignment vertical="center"/>
    </xf>
    <xf numFmtId="9" fontId="19" fillId="0" borderId="72" xfId="0" applyNumberFormat="1" applyFont="1" applyFill="1" applyBorder="1" applyAlignment="1">
      <alignment vertical="center"/>
    </xf>
    <xf numFmtId="218" fontId="14" fillId="0" borderId="72" xfId="0" applyNumberFormat="1" applyFont="1" applyFill="1" applyBorder="1" applyAlignment="1">
      <alignment horizontal="center" vertical="center"/>
    </xf>
    <xf numFmtId="0" fontId="6" fillId="4" borderId="77" xfId="0" applyFont="1" applyFill="1" applyBorder="1" applyAlignment="1">
      <alignment horizontal="right" vertical="center"/>
    </xf>
    <xf numFmtId="0" fontId="14" fillId="0" borderId="79" xfId="53" applyFont="1" applyFill="1" applyBorder="1" applyAlignment="1">
      <alignment vertical="center"/>
      <protection/>
    </xf>
    <xf numFmtId="0" fontId="14" fillId="0" borderId="80" xfId="53" applyFont="1" applyFill="1" applyBorder="1" applyAlignment="1">
      <alignment vertical="center"/>
      <protection/>
    </xf>
    <xf numFmtId="0" fontId="14" fillId="0" borderId="81" xfId="53" applyFont="1" applyFill="1" applyBorder="1" applyAlignment="1">
      <alignment vertical="center"/>
      <protection/>
    </xf>
    <xf numFmtId="0" fontId="14" fillId="0" borderId="82" xfId="53" applyFont="1" applyFill="1" applyBorder="1" applyAlignment="1">
      <alignment vertical="center"/>
      <protection/>
    </xf>
    <xf numFmtId="0" fontId="14" fillId="0" borderId="83" xfId="53" applyFont="1" applyFill="1" applyBorder="1" applyAlignment="1">
      <alignment vertical="center"/>
      <protection/>
    </xf>
    <xf numFmtId="0" fontId="14" fillId="0" borderId="84" xfId="53" applyFont="1" applyFill="1" applyBorder="1" applyAlignment="1">
      <alignment vertical="center"/>
      <protection/>
    </xf>
    <xf numFmtId="230" fontId="6" fillId="0" borderId="78" xfId="50" applyNumberFormat="1" applyFont="1" applyFill="1" applyBorder="1" applyAlignment="1">
      <alignment vertical="center"/>
    </xf>
    <xf numFmtId="209" fontId="14" fillId="0" borderId="72" xfId="53" applyNumberFormat="1" applyFont="1" applyFill="1" applyBorder="1" applyAlignment="1">
      <alignment vertical="center"/>
      <protection/>
    </xf>
    <xf numFmtId="10" fontId="14" fillId="0" borderId="72" xfId="50" applyNumberFormat="1" applyFont="1" applyFill="1" applyBorder="1" applyAlignment="1">
      <alignment horizontal="center" vertical="center"/>
    </xf>
    <xf numFmtId="8" fontId="14" fillId="0" borderId="72" xfId="53" applyNumberFormat="1" applyFont="1" applyFill="1" applyBorder="1" applyAlignment="1">
      <alignment horizontal="center" vertical="center"/>
      <protection/>
    </xf>
    <xf numFmtId="210" fontId="14" fillId="0" borderId="72" xfId="0" applyNumberFormat="1" applyFont="1" applyFill="1" applyBorder="1" applyAlignment="1">
      <alignment horizontal="center" vertical="center"/>
    </xf>
    <xf numFmtId="210" fontId="14" fillId="0" borderId="72" xfId="53" applyNumberFormat="1" applyFont="1" applyFill="1" applyBorder="1" applyAlignment="1">
      <alignment horizontal="center" vertical="center"/>
      <protection/>
    </xf>
    <xf numFmtId="222" fontId="14" fillId="0" borderId="72" xfId="0" applyNumberFormat="1" applyFont="1" applyFill="1" applyBorder="1" applyAlignment="1">
      <alignment vertical="center"/>
    </xf>
    <xf numFmtId="1" fontId="19" fillId="0" borderId="72" xfId="0" applyNumberFormat="1" applyFont="1" applyFill="1" applyBorder="1" applyAlignment="1">
      <alignment horizontal="right" vertical="center"/>
    </xf>
    <xf numFmtId="49" fontId="14" fillId="0" borderId="0" xfId="53" applyNumberFormat="1" applyFont="1" applyFill="1" applyBorder="1" applyAlignment="1">
      <alignment horizontal="center" vertical="center"/>
      <protection/>
    </xf>
    <xf numFmtId="0" fontId="8" fillId="4" borderId="1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right"/>
    </xf>
    <xf numFmtId="204" fontId="7" fillId="5" borderId="2" xfId="0" applyNumberFormat="1" applyFont="1" applyFill="1" applyBorder="1" applyAlignment="1">
      <alignment horizontal="center"/>
    </xf>
    <xf numFmtId="204" fontId="7" fillId="5" borderId="5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right"/>
    </xf>
    <xf numFmtId="0" fontId="8" fillId="4" borderId="5" xfId="0" applyFont="1" applyFill="1" applyBorder="1" applyAlignment="1">
      <alignment horizontal="right"/>
    </xf>
    <xf numFmtId="0" fontId="7" fillId="4" borderId="4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64" xfId="0" applyFont="1" applyFill="1" applyBorder="1" applyAlignment="1">
      <alignment horizontal="center"/>
    </xf>
    <xf numFmtId="0" fontId="7" fillId="4" borderId="57" xfId="0" applyFont="1" applyFill="1" applyBorder="1" applyAlignment="1">
      <alignment horizontal="right"/>
    </xf>
    <xf numFmtId="0" fontId="7" fillId="4" borderId="9" xfId="0" applyFont="1" applyFill="1" applyBorder="1" applyAlignment="1">
      <alignment horizontal="right"/>
    </xf>
    <xf numFmtId="0" fontId="7" fillId="4" borderId="24" xfId="0" applyFont="1" applyFill="1" applyBorder="1" applyAlignment="1">
      <alignment horizontal="right"/>
    </xf>
    <xf numFmtId="0" fontId="7" fillId="4" borderId="27" xfId="0" applyFont="1" applyFill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7" fillId="4" borderId="85" xfId="0" applyFont="1" applyFill="1" applyBorder="1" applyAlignment="1">
      <alignment horizontal="right"/>
    </xf>
    <xf numFmtId="207" fontId="14" fillId="0" borderId="86" xfId="53" applyNumberFormat="1" applyFont="1" applyFill="1" applyBorder="1" applyAlignment="1">
      <alignment vertical="center"/>
      <protection/>
    </xf>
    <xf numFmtId="0" fontId="6" fillId="3" borderId="15" xfId="53" applyFont="1" applyFill="1" applyBorder="1" applyAlignment="1">
      <alignment horizontal="center" vertical="center"/>
      <protection/>
    </xf>
    <xf numFmtId="0" fontId="14" fillId="4" borderId="87" xfId="53" applyFont="1" applyFill="1" applyBorder="1" applyAlignment="1">
      <alignment horizontal="right" vertical="center"/>
      <protection/>
    </xf>
    <xf numFmtId="0" fontId="14" fillId="0" borderId="88" xfId="53" applyFont="1" applyFill="1" applyBorder="1" applyAlignment="1">
      <alignment vertical="center"/>
      <protection/>
    </xf>
    <xf numFmtId="0" fontId="14" fillId="4" borderId="89" xfId="53" applyFont="1" applyFill="1" applyBorder="1" applyAlignment="1">
      <alignment horizontal="right" vertical="center"/>
      <protection/>
    </xf>
    <xf numFmtId="0" fontId="14" fillId="0" borderId="90" xfId="53" applyFont="1" applyFill="1" applyBorder="1" applyAlignment="1">
      <alignment vertical="center"/>
      <protection/>
    </xf>
    <xf numFmtId="0" fontId="14" fillId="4" borderId="89" xfId="53" applyFont="1" applyFill="1" applyBorder="1" applyAlignment="1">
      <alignment horizontal="left" vertical="center"/>
      <protection/>
    </xf>
    <xf numFmtId="208" fontId="14" fillId="0" borderId="90" xfId="53" applyNumberFormat="1" applyFont="1" applyFill="1" applyBorder="1" applyAlignment="1">
      <alignment vertical="center"/>
      <protection/>
    </xf>
    <xf numFmtId="0" fontId="14" fillId="4" borderId="91" xfId="53" applyFont="1" applyFill="1" applyBorder="1" applyAlignment="1">
      <alignment horizontal="left" vertical="center"/>
      <protection/>
    </xf>
    <xf numFmtId="0" fontId="14" fillId="0" borderId="92" xfId="53" applyFont="1" applyFill="1" applyBorder="1" applyAlignment="1">
      <alignment vertical="center"/>
      <protection/>
    </xf>
    <xf numFmtId="0" fontId="14" fillId="4" borderId="73" xfId="53" applyFont="1" applyFill="1" applyBorder="1" applyAlignment="1">
      <alignment horizontal="left" vertical="center"/>
      <protection/>
    </xf>
    <xf numFmtId="0" fontId="14" fillId="4" borderId="73" xfId="53" applyFont="1" applyFill="1" applyBorder="1" applyAlignment="1">
      <alignment horizontal="right" vertical="center"/>
      <protection/>
    </xf>
    <xf numFmtId="0" fontId="14" fillId="4" borderId="93" xfId="53" applyFont="1" applyFill="1" applyBorder="1" applyAlignment="1">
      <alignment horizontal="left" vertical="center"/>
      <protection/>
    </xf>
    <xf numFmtId="207" fontId="14" fillId="0" borderId="90" xfId="53" applyNumberFormat="1" applyFont="1" applyFill="1" applyBorder="1" applyAlignment="1">
      <alignment vertical="center"/>
      <protection/>
    </xf>
    <xf numFmtId="0" fontId="14" fillId="4" borderId="94" xfId="53" applyFont="1" applyFill="1" applyBorder="1" applyAlignment="1">
      <alignment horizontal="center" vertical="center"/>
      <protection/>
    </xf>
    <xf numFmtId="208" fontId="14" fillId="0" borderId="86" xfId="53" applyNumberFormat="1" applyFont="1" applyFill="1" applyBorder="1" applyAlignment="1">
      <alignment vertical="center"/>
      <protection/>
    </xf>
    <xf numFmtId="8" fontId="14" fillId="4" borderId="89" xfId="61" applyFont="1" applyFill="1" applyBorder="1" applyAlignment="1">
      <alignment horizontal="left" vertical="center"/>
    </xf>
    <xf numFmtId="208" fontId="6" fillId="0" borderId="90" xfId="53" applyNumberFormat="1" applyFont="1" applyFill="1" applyBorder="1" applyAlignment="1">
      <alignment vertical="center"/>
      <protection/>
    </xf>
    <xf numFmtId="10" fontId="14" fillId="0" borderId="90" xfId="50" applyNumberFormat="1" applyFont="1" applyFill="1" applyBorder="1" applyAlignment="1">
      <alignment vertical="center"/>
    </xf>
    <xf numFmtId="9" fontId="14" fillId="0" borderId="90" xfId="50" applyFont="1" applyFill="1" applyBorder="1" applyAlignment="1">
      <alignment vertical="center"/>
    </xf>
    <xf numFmtId="0" fontId="6" fillId="4" borderId="91" xfId="53" applyFont="1" applyFill="1" applyBorder="1" applyAlignment="1">
      <alignment horizontal="center" vertical="center"/>
      <protection/>
    </xf>
    <xf numFmtId="10" fontId="6" fillId="0" borderId="92" xfId="53" applyNumberFormat="1" applyFont="1" applyFill="1" applyBorder="1" applyAlignment="1">
      <alignment vertical="center"/>
      <protection/>
    </xf>
    <xf numFmtId="8" fontId="14" fillId="4" borderId="87" xfId="61" applyFont="1" applyFill="1" applyBorder="1" applyAlignment="1">
      <alignment horizontal="left" vertical="center"/>
    </xf>
    <xf numFmtId="208" fontId="14" fillId="0" borderId="88" xfId="53" applyNumberFormat="1" applyFont="1" applyFill="1" applyBorder="1" applyAlignment="1">
      <alignment vertical="center"/>
      <protection/>
    </xf>
    <xf numFmtId="215" fontId="14" fillId="4" borderId="95" xfId="77" applyNumberFormat="1" applyFont="1" applyFill="1" applyBorder="1" applyAlignment="1">
      <alignment vertical="center"/>
    </xf>
    <xf numFmtId="0" fontId="14" fillId="4" borderId="96" xfId="53" applyFont="1" applyFill="1" applyBorder="1" applyAlignment="1">
      <alignment horizontal="right" vertical="center"/>
      <protection/>
    </xf>
    <xf numFmtId="208" fontId="14" fillId="0" borderId="97" xfId="53" applyNumberFormat="1" applyFont="1" applyFill="1" applyBorder="1" applyAlignment="1">
      <alignment vertical="center"/>
      <protection/>
    </xf>
    <xf numFmtId="49" fontId="6" fillId="3" borderId="6" xfId="53" applyNumberFormat="1" applyFont="1" applyFill="1" applyBorder="1" applyAlignment="1">
      <alignment horizontal="center" vertical="center"/>
      <protection/>
    </xf>
    <xf numFmtId="0" fontId="14" fillId="2" borderId="98" xfId="53" applyFont="1" applyFill="1" applyBorder="1" applyAlignment="1">
      <alignment horizontal="center" vertical="center"/>
      <protection/>
    </xf>
    <xf numFmtId="0" fontId="14" fillId="2" borderId="99" xfId="53" applyFont="1" applyFill="1" applyBorder="1" applyAlignment="1">
      <alignment horizontal="center" vertical="center"/>
      <protection/>
    </xf>
    <xf numFmtId="0" fontId="14" fillId="2" borderId="100" xfId="53" applyFont="1" applyFill="1" applyBorder="1" applyAlignment="1">
      <alignment horizontal="center" vertical="center"/>
      <protection/>
    </xf>
    <xf numFmtId="0" fontId="14" fillId="2" borderId="101" xfId="53" applyFont="1" applyFill="1" applyBorder="1" applyAlignment="1">
      <alignment horizontal="center" vertical="center"/>
      <protection/>
    </xf>
    <xf numFmtId="0" fontId="14" fillId="2" borderId="102" xfId="53" applyFont="1" applyFill="1" applyBorder="1" applyAlignment="1">
      <alignment horizontal="left" vertical="center"/>
      <protection/>
    </xf>
    <xf numFmtId="0" fontId="14" fillId="2" borderId="103" xfId="53" applyFont="1" applyFill="1" applyBorder="1" applyAlignment="1">
      <alignment horizontal="left" vertical="center"/>
      <protection/>
    </xf>
    <xf numFmtId="208" fontId="14" fillId="2" borderId="103" xfId="53" applyNumberFormat="1" applyFont="1" applyFill="1" applyBorder="1" applyAlignment="1">
      <alignment vertical="center"/>
      <protection/>
    </xf>
    <xf numFmtId="0" fontId="14" fillId="2" borderId="102" xfId="53" applyFont="1" applyFill="1" applyBorder="1" applyAlignment="1">
      <alignment vertical="center"/>
      <protection/>
    </xf>
    <xf numFmtId="208" fontId="14" fillId="2" borderId="104" xfId="53" applyNumberFormat="1" applyFont="1" applyFill="1" applyBorder="1" applyAlignment="1">
      <alignment vertical="center"/>
      <protection/>
    </xf>
    <xf numFmtId="208" fontId="15" fillId="2" borderId="103" xfId="53" applyNumberFormat="1" applyFont="1" applyFill="1" applyBorder="1" applyAlignment="1">
      <alignment vertical="center"/>
      <protection/>
    </xf>
    <xf numFmtId="0" fontId="14" fillId="2" borderId="105" xfId="53" applyFont="1" applyFill="1" applyBorder="1" applyAlignment="1">
      <alignment vertical="center"/>
      <protection/>
    </xf>
    <xf numFmtId="208" fontId="15" fillId="2" borderId="104" xfId="53" applyNumberFormat="1" applyFont="1" applyFill="1" applyBorder="1" applyAlignment="1">
      <alignment vertical="center"/>
      <protection/>
    </xf>
    <xf numFmtId="0" fontId="14" fillId="2" borderId="106" xfId="53" applyFont="1" applyFill="1" applyBorder="1" applyAlignment="1">
      <alignment horizontal="right" vertical="center"/>
      <protection/>
    </xf>
    <xf numFmtId="208" fontId="14" fillId="2" borderId="107" xfId="53" applyNumberFormat="1" applyFont="1" applyFill="1" applyBorder="1" applyAlignment="1">
      <alignment vertical="center"/>
      <protection/>
    </xf>
    <xf numFmtId="0" fontId="14" fillId="2" borderId="107" xfId="53" applyFont="1" applyFill="1" applyBorder="1" applyAlignment="1">
      <alignment horizontal="right" vertical="center"/>
      <protection/>
    </xf>
    <xf numFmtId="208" fontId="14" fillId="2" borderId="108" xfId="53" applyNumberFormat="1" applyFont="1" applyFill="1" applyBorder="1" applyAlignment="1">
      <alignment vertical="center"/>
      <protection/>
    </xf>
    <xf numFmtId="49" fontId="6" fillId="3" borderId="23" xfId="53" applyNumberFormat="1" applyFont="1" applyFill="1" applyBorder="1" applyAlignment="1">
      <alignment horizontal="center" vertical="center"/>
      <protection/>
    </xf>
    <xf numFmtId="0" fontId="14" fillId="2" borderId="109" xfId="53" applyFont="1" applyFill="1" applyBorder="1" applyAlignment="1">
      <alignment vertical="center"/>
      <protection/>
    </xf>
    <xf numFmtId="0" fontId="14" fillId="2" borderId="110" xfId="53" applyFont="1" applyFill="1" applyBorder="1" applyAlignment="1">
      <alignment horizontal="center" vertical="center"/>
      <protection/>
    </xf>
    <xf numFmtId="0" fontId="14" fillId="2" borderId="111" xfId="53" applyFont="1" applyFill="1" applyBorder="1" applyAlignment="1">
      <alignment horizontal="center" vertical="center"/>
      <protection/>
    </xf>
    <xf numFmtId="0" fontId="14" fillId="2" borderId="89" xfId="53" applyFont="1" applyFill="1" applyBorder="1" applyAlignment="1">
      <alignment vertical="center"/>
      <protection/>
    </xf>
    <xf numFmtId="8" fontId="14" fillId="0" borderId="90" xfId="53" applyNumberFormat="1" applyFont="1" applyFill="1" applyBorder="1" applyAlignment="1">
      <alignment vertical="center"/>
      <protection/>
    </xf>
    <xf numFmtId="218" fontId="14" fillId="2" borderId="90" xfId="53" applyNumberFormat="1" applyFont="1" applyFill="1" applyBorder="1" applyAlignment="1">
      <alignment horizontal="center" vertical="center"/>
      <protection/>
    </xf>
    <xf numFmtId="9" fontId="14" fillId="2" borderId="90" xfId="50" applyFont="1" applyFill="1" applyBorder="1" applyAlignment="1">
      <alignment horizontal="center" vertical="center"/>
    </xf>
    <xf numFmtId="0" fontId="14" fillId="2" borderId="91" xfId="53" applyFont="1" applyFill="1" applyBorder="1" applyAlignment="1">
      <alignment vertical="center"/>
      <protection/>
    </xf>
    <xf numFmtId="8" fontId="14" fillId="2" borderId="112" xfId="53" applyNumberFormat="1" applyFont="1" applyFill="1" applyBorder="1" applyAlignment="1">
      <alignment vertical="center"/>
      <protection/>
    </xf>
    <xf numFmtId="208" fontId="14" fillId="2" borderId="112" xfId="53" applyNumberFormat="1" applyFont="1" applyFill="1" applyBorder="1" applyAlignment="1">
      <alignment vertical="center"/>
      <protection/>
    </xf>
    <xf numFmtId="0" fontId="14" fillId="4" borderId="77" xfId="53" applyFont="1" applyFill="1" applyBorder="1" applyAlignment="1">
      <alignment horizontal="center" vertical="center"/>
      <protection/>
    </xf>
    <xf numFmtId="0" fontId="14" fillId="2" borderId="109" xfId="53" applyFont="1" applyFill="1" applyBorder="1" applyAlignment="1">
      <alignment horizontal="center" vertical="center"/>
      <protection/>
    </xf>
    <xf numFmtId="0" fontId="14" fillId="2" borderId="89" xfId="53" applyFont="1" applyFill="1" applyBorder="1" applyAlignment="1">
      <alignment horizontal="left" vertical="center"/>
      <protection/>
    </xf>
    <xf numFmtId="206" fontId="14" fillId="2" borderId="90" xfId="53" applyNumberFormat="1" applyFont="1" applyFill="1" applyBorder="1" applyAlignment="1">
      <alignment horizontal="center" vertical="center"/>
      <protection/>
    </xf>
    <xf numFmtId="0" fontId="14" fillId="2" borderId="90" xfId="53" applyFont="1" applyFill="1" applyBorder="1" applyAlignment="1">
      <alignment horizontal="center" vertical="center"/>
      <protection/>
    </xf>
    <xf numFmtId="0" fontId="14" fillId="2" borderId="89" xfId="53" applyFont="1" applyFill="1" applyBorder="1" applyAlignment="1">
      <alignment horizontal="center" vertical="center"/>
      <protection/>
    </xf>
    <xf numFmtId="207" fontId="14" fillId="2" borderId="90" xfId="53" applyNumberFormat="1" applyFont="1" applyFill="1" applyBorder="1" applyAlignment="1">
      <alignment horizontal="center" vertical="center"/>
      <protection/>
    </xf>
    <xf numFmtId="208" fontId="14" fillId="2" borderId="90" xfId="53" applyNumberFormat="1" applyFont="1" applyFill="1" applyBorder="1" applyAlignment="1">
      <alignment horizontal="center" vertical="center"/>
      <protection/>
    </xf>
    <xf numFmtId="0" fontId="14" fillId="0" borderId="112" xfId="53" applyFont="1" applyFill="1" applyBorder="1" applyAlignment="1">
      <alignment horizontal="right" vertical="center"/>
      <protection/>
    </xf>
    <xf numFmtId="0" fontId="14" fillId="4" borderId="110" xfId="53" applyFont="1" applyFill="1" applyBorder="1" applyAlignment="1">
      <alignment horizontal="center" vertical="center"/>
      <protection/>
    </xf>
    <xf numFmtId="0" fontId="14" fillId="4" borderId="111" xfId="53" applyFont="1" applyFill="1" applyBorder="1" applyAlignment="1">
      <alignment horizontal="center" vertical="center"/>
      <protection/>
    </xf>
    <xf numFmtId="202" fontId="14" fillId="0" borderId="112" xfId="53" applyNumberFormat="1" applyFont="1" applyFill="1" applyBorder="1" applyAlignment="1">
      <alignment horizontal="right" vertical="center"/>
      <protection/>
    </xf>
    <xf numFmtId="209" fontId="14" fillId="0" borderId="112" xfId="53" applyNumberFormat="1" applyFont="1" applyFill="1" applyBorder="1" applyAlignment="1">
      <alignment vertical="center"/>
      <protection/>
    </xf>
    <xf numFmtId="208" fontId="14" fillId="0" borderId="112" xfId="53" applyNumberFormat="1" applyFont="1" applyFill="1" applyBorder="1" applyAlignment="1">
      <alignment vertical="center"/>
      <protection/>
    </xf>
    <xf numFmtId="0" fontId="7" fillId="0" borderId="5" xfId="0" applyFont="1" applyBorder="1" applyAlignment="1">
      <alignment horizontal="center"/>
    </xf>
    <xf numFmtId="2" fontId="14" fillId="0" borderId="112" xfId="53" applyNumberFormat="1" applyFont="1" applyFill="1" applyBorder="1" applyAlignment="1">
      <alignment horizontal="center" vertical="center"/>
      <protection/>
    </xf>
    <xf numFmtId="1" fontId="14" fillId="0" borderId="92" xfId="53" applyNumberFormat="1" applyFont="1" applyFill="1" applyBorder="1" applyAlignment="1">
      <alignment horizontal="center" vertical="center"/>
      <protection/>
    </xf>
    <xf numFmtId="0" fontId="14" fillId="4" borderId="89" xfId="53" applyFont="1" applyFill="1" applyBorder="1" applyAlignment="1">
      <alignment vertical="center"/>
      <protection/>
    </xf>
    <xf numFmtId="0" fontId="14" fillId="4" borderId="112" xfId="53" applyFont="1" applyFill="1" applyBorder="1" applyAlignment="1">
      <alignment horizontal="center" vertical="center"/>
      <protection/>
    </xf>
    <xf numFmtId="0" fontId="14" fillId="0" borderId="112" xfId="53" applyFont="1" applyFill="1" applyBorder="1" applyAlignment="1">
      <alignment horizontal="center" vertical="center"/>
      <protection/>
    </xf>
    <xf numFmtId="0" fontId="14" fillId="4" borderId="112" xfId="53" applyFont="1" applyFill="1" applyBorder="1" applyAlignment="1">
      <alignment horizontal="left" vertical="center"/>
      <protection/>
    </xf>
    <xf numFmtId="4" fontId="14" fillId="0" borderId="112" xfId="53" applyNumberFormat="1" applyFont="1" applyFill="1" applyBorder="1" applyAlignment="1">
      <alignment horizontal="center" vertical="center"/>
      <protection/>
    </xf>
    <xf numFmtId="4" fontId="14" fillId="0" borderId="92" xfId="53" applyNumberFormat="1" applyFont="1" applyFill="1" applyBorder="1" applyAlignment="1">
      <alignment horizontal="center" vertical="center"/>
      <protection/>
    </xf>
    <xf numFmtId="0" fontId="14" fillId="4" borderId="94" xfId="53" applyFont="1" applyFill="1" applyBorder="1" applyAlignment="1">
      <alignment vertical="center"/>
      <protection/>
    </xf>
    <xf numFmtId="0" fontId="14" fillId="4" borderId="113" xfId="53" applyFont="1" applyFill="1" applyBorder="1" applyAlignment="1">
      <alignment horizontal="center" vertical="center"/>
      <protection/>
    </xf>
    <xf numFmtId="0" fontId="6" fillId="4" borderId="114" xfId="53" applyFont="1" applyFill="1" applyBorder="1" applyAlignment="1">
      <alignment horizontal="center" vertical="center"/>
      <protection/>
    </xf>
    <xf numFmtId="0" fontId="14" fillId="4" borderId="87" xfId="53" applyFont="1" applyFill="1" applyBorder="1" applyAlignment="1">
      <alignment vertical="center"/>
      <protection/>
    </xf>
    <xf numFmtId="0" fontId="14" fillId="4" borderId="77" xfId="53" applyFont="1" applyFill="1" applyBorder="1" applyAlignment="1">
      <alignment horizontal="right" vertical="center"/>
      <protection/>
    </xf>
    <xf numFmtId="202" fontId="14" fillId="0" borderId="77" xfId="53" applyNumberFormat="1" applyFont="1" applyFill="1" applyBorder="1" applyAlignment="1">
      <alignment vertical="center"/>
      <protection/>
    </xf>
    <xf numFmtId="4" fontId="14" fillId="0" borderId="77" xfId="53" applyNumberFormat="1" applyFont="1" applyFill="1" applyBorder="1" applyAlignment="1">
      <alignment horizontal="center" vertical="center"/>
      <protection/>
    </xf>
    <xf numFmtId="4" fontId="14" fillId="0" borderId="88" xfId="53" applyNumberFormat="1" applyFont="1" applyFill="1" applyBorder="1" applyAlignment="1">
      <alignment vertical="center"/>
      <protection/>
    </xf>
    <xf numFmtId="0" fontId="14" fillId="4" borderId="115" xfId="53" applyFont="1" applyFill="1" applyBorder="1" applyAlignment="1">
      <alignment horizontal="center" vertical="center"/>
      <protection/>
    </xf>
    <xf numFmtId="0" fontId="14" fillId="4" borderId="76" xfId="53" applyFont="1" applyFill="1" applyBorder="1" applyAlignment="1">
      <alignment horizontal="center" vertical="center"/>
      <protection/>
    </xf>
    <xf numFmtId="0" fontId="14" fillId="4" borderId="77" xfId="53" applyFont="1" applyFill="1" applyBorder="1" applyAlignment="1">
      <alignment vertical="center"/>
      <protection/>
    </xf>
    <xf numFmtId="0" fontId="14" fillId="4" borderId="87" xfId="53" applyFont="1" applyFill="1" applyBorder="1" applyAlignment="1">
      <alignment horizontal="center" vertical="center"/>
      <protection/>
    </xf>
    <xf numFmtId="0" fontId="14" fillId="4" borderId="88" xfId="53" applyFont="1" applyFill="1" applyBorder="1" applyAlignment="1">
      <alignment vertical="center"/>
      <protection/>
    </xf>
    <xf numFmtId="0" fontId="14" fillId="0" borderId="89" xfId="53" applyFont="1" applyFill="1" applyBorder="1" applyAlignment="1">
      <alignment horizontal="center" vertical="center"/>
      <protection/>
    </xf>
    <xf numFmtId="208" fontId="14" fillId="0" borderId="90" xfId="53" applyNumberFormat="1" applyFont="1" applyFill="1" applyBorder="1" applyAlignment="1">
      <alignment horizontal="center" vertical="center"/>
      <protection/>
    </xf>
    <xf numFmtId="0" fontId="14" fillId="0" borderId="91" xfId="53" applyFont="1" applyFill="1" applyBorder="1" applyAlignment="1">
      <alignment vertical="center"/>
      <protection/>
    </xf>
    <xf numFmtId="0" fontId="14" fillId="0" borderId="112" xfId="53" applyFont="1" applyFill="1" applyBorder="1" applyAlignment="1">
      <alignment vertical="center"/>
      <protection/>
    </xf>
    <xf numFmtId="0" fontId="14" fillId="4" borderId="92" xfId="53" applyFont="1" applyFill="1" applyBorder="1" applyAlignment="1">
      <alignment vertical="center"/>
      <protection/>
    </xf>
    <xf numFmtId="0" fontId="14" fillId="0" borderId="89" xfId="53" applyFont="1" applyFill="1" applyBorder="1" applyAlignment="1">
      <alignment horizontal="right" vertical="center"/>
      <protection/>
    </xf>
    <xf numFmtId="218" fontId="14" fillId="0" borderId="90" xfId="53" applyNumberFormat="1" applyFont="1" applyFill="1" applyBorder="1" applyAlignment="1">
      <alignment horizontal="right" vertical="center"/>
      <protection/>
    </xf>
    <xf numFmtId="218" fontId="14" fillId="0" borderId="92" xfId="53" applyNumberFormat="1" applyFont="1" applyFill="1" applyBorder="1" applyAlignment="1">
      <alignment horizontal="right" vertical="center"/>
      <protection/>
    </xf>
    <xf numFmtId="174" fontId="14" fillId="0" borderId="90" xfId="53" applyNumberFormat="1" applyFont="1" applyFill="1" applyBorder="1" applyAlignment="1">
      <alignment horizontal="center" vertical="center"/>
      <protection/>
    </xf>
    <xf numFmtId="222" fontId="14" fillId="0" borderId="90" xfId="53" applyNumberFormat="1" applyFont="1" applyFill="1" applyBorder="1" applyAlignment="1">
      <alignment horizontal="right" vertical="center"/>
      <protection/>
    </xf>
    <xf numFmtId="6" fontId="14" fillId="0" borderId="90" xfId="53" applyNumberFormat="1" applyFont="1" applyFill="1" applyBorder="1" applyAlignment="1">
      <alignment vertical="center"/>
      <protection/>
    </xf>
    <xf numFmtId="44" fontId="14" fillId="0" borderId="90" xfId="53" applyNumberFormat="1" applyFont="1" applyFill="1" applyBorder="1" applyAlignment="1">
      <alignment vertical="center"/>
      <protection/>
    </xf>
    <xf numFmtId="8" fontId="14" fillId="0" borderId="92" xfId="53" applyNumberFormat="1" applyFont="1" applyFill="1" applyBorder="1" applyAlignment="1">
      <alignment vertical="center"/>
      <protection/>
    </xf>
    <xf numFmtId="6" fontId="14" fillId="0" borderId="116" xfId="53" applyNumberFormat="1" applyFont="1" applyFill="1" applyBorder="1" applyAlignment="1">
      <alignment horizontal="center" vertical="center"/>
      <protection/>
    </xf>
    <xf numFmtId="202" fontId="14" fillId="0" borderId="90" xfId="53" applyNumberFormat="1" applyFont="1" applyFill="1" applyBorder="1" applyAlignment="1">
      <alignment horizontal="center" vertical="center"/>
      <protection/>
    </xf>
    <xf numFmtId="211" fontId="14" fillId="0" borderId="90" xfId="53" applyNumberFormat="1" applyFont="1" applyFill="1" applyBorder="1" applyAlignment="1">
      <alignment horizontal="center" vertical="center"/>
      <protection/>
    </xf>
    <xf numFmtId="9" fontId="14" fillId="0" borderId="90" xfId="50" applyNumberFormat="1" applyFont="1" applyFill="1" applyBorder="1" applyAlignment="1">
      <alignment horizontal="center" vertical="center"/>
    </xf>
    <xf numFmtId="0" fontId="14" fillId="4" borderId="89" xfId="53" applyFont="1" applyFill="1" applyBorder="1" applyAlignment="1">
      <alignment horizontal="center" vertical="center"/>
      <protection/>
    </xf>
    <xf numFmtId="218" fontId="14" fillId="0" borderId="92" xfId="53" applyNumberFormat="1" applyFont="1" applyFill="1" applyBorder="1" applyAlignment="1">
      <alignment horizontal="center" vertical="center"/>
      <protection/>
    </xf>
    <xf numFmtId="0" fontId="14" fillId="4" borderId="117" xfId="57" applyFont="1" applyFill="1" applyBorder="1" applyAlignment="1">
      <alignment horizontal="right" vertical="center"/>
      <protection/>
    </xf>
    <xf numFmtId="0" fontId="14" fillId="4" borderId="118" xfId="57" applyFont="1" applyFill="1" applyBorder="1" applyAlignment="1">
      <alignment horizontal="right" vertical="center"/>
      <protection/>
    </xf>
    <xf numFmtId="0" fontId="14" fillId="4" borderId="115" xfId="57" applyFont="1" applyFill="1" applyBorder="1" applyAlignment="1">
      <alignment horizontal="right" vertical="center"/>
      <protection/>
    </xf>
    <xf numFmtId="0" fontId="14" fillId="4" borderId="119" xfId="57" applyFont="1" applyFill="1" applyBorder="1" applyAlignment="1">
      <alignment horizontal="right" vertical="center"/>
      <protection/>
    </xf>
    <xf numFmtId="211" fontId="14" fillId="4" borderId="120" xfId="57" applyNumberFormat="1" applyFont="1" applyFill="1" applyBorder="1" applyAlignment="1">
      <alignment vertical="center"/>
      <protection/>
    </xf>
    <xf numFmtId="211" fontId="14" fillId="4" borderId="121" xfId="57" applyNumberFormat="1" applyFont="1" applyFill="1" applyBorder="1" applyAlignment="1">
      <alignment vertical="center"/>
      <protection/>
    </xf>
    <xf numFmtId="0" fontId="14" fillId="4" borderId="122" xfId="57" applyFont="1" applyFill="1" applyBorder="1" applyAlignment="1">
      <alignment horizontal="right" vertical="center"/>
      <protection/>
    </xf>
    <xf numFmtId="211" fontId="14" fillId="4" borderId="123" xfId="57" applyNumberFormat="1" applyFont="1" applyFill="1" applyBorder="1" applyAlignment="1">
      <alignment vertical="center"/>
      <protection/>
    </xf>
    <xf numFmtId="211" fontId="14" fillId="4" borderId="124" xfId="57" applyNumberFormat="1" applyFont="1" applyFill="1" applyBorder="1" applyAlignment="1">
      <alignment vertical="center"/>
      <protection/>
    </xf>
    <xf numFmtId="0" fontId="14" fillId="4" borderId="94" xfId="57" applyFont="1" applyFill="1" applyBorder="1" applyAlignment="1">
      <alignment horizontal="right" vertical="center"/>
      <protection/>
    </xf>
    <xf numFmtId="211" fontId="14" fillId="0" borderId="125" xfId="57" applyNumberFormat="1" applyFont="1" applyFill="1" applyBorder="1" applyAlignment="1">
      <alignment vertical="center"/>
      <protection/>
    </xf>
    <xf numFmtId="211" fontId="14" fillId="0" borderId="126" xfId="57" applyNumberFormat="1" applyFont="1" applyFill="1" applyBorder="1" applyAlignment="1">
      <alignment vertical="center"/>
      <protection/>
    </xf>
    <xf numFmtId="0" fontId="14" fillId="0" borderId="93" xfId="53" applyFont="1" applyFill="1" applyBorder="1" applyAlignment="1">
      <alignment horizontal="right" vertical="center"/>
      <protection/>
    </xf>
    <xf numFmtId="0" fontId="6" fillId="4" borderId="127" xfId="53" applyFont="1" applyFill="1" applyBorder="1" applyAlignment="1">
      <alignment horizontal="center" vertical="center"/>
      <protection/>
    </xf>
    <xf numFmtId="0" fontId="14" fillId="4" borderId="93" xfId="53" applyFont="1" applyFill="1" applyBorder="1" applyAlignment="1">
      <alignment horizontal="right" vertical="center"/>
      <protection/>
    </xf>
    <xf numFmtId="0" fontId="14" fillId="4" borderId="128" xfId="53" applyFont="1" applyFill="1" applyBorder="1" applyAlignment="1">
      <alignment horizontal="right" vertical="center"/>
      <protection/>
    </xf>
    <xf numFmtId="0" fontId="14" fillId="4" borderId="93" xfId="53" applyFont="1" applyFill="1" applyBorder="1" applyAlignment="1">
      <alignment horizontal="center" vertical="center"/>
      <protection/>
    </xf>
    <xf numFmtId="0" fontId="14" fillId="4" borderId="89" xfId="57" applyFont="1" applyFill="1" applyBorder="1" applyAlignment="1">
      <alignment horizontal="right" vertical="center"/>
      <protection/>
    </xf>
    <xf numFmtId="211" fontId="14" fillId="0" borderId="90" xfId="57" applyNumberFormat="1" applyFont="1" applyFill="1" applyBorder="1" applyAlignment="1">
      <alignment horizontal="right" vertical="center"/>
      <protection/>
    </xf>
    <xf numFmtId="0" fontId="7" fillId="4" borderId="2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14" fillId="4" borderId="129" xfId="57" applyFont="1" applyFill="1" applyBorder="1" applyAlignment="1">
      <alignment horizontal="right" vertical="center"/>
      <protection/>
    </xf>
    <xf numFmtId="211" fontId="14" fillId="0" borderId="116" xfId="57" applyNumberFormat="1" applyFont="1" applyFill="1" applyBorder="1" applyAlignment="1">
      <alignment vertical="center"/>
      <protection/>
    </xf>
    <xf numFmtId="211" fontId="14" fillId="0" borderId="90" xfId="57" applyNumberFormat="1" applyFont="1" applyFill="1" applyBorder="1" applyAlignment="1">
      <alignment vertical="center"/>
      <protection/>
    </xf>
    <xf numFmtId="0" fontId="14" fillId="4" borderId="87" xfId="57" applyFont="1" applyFill="1" applyBorder="1" applyAlignment="1">
      <alignment horizontal="right" vertical="center"/>
      <protection/>
    </xf>
    <xf numFmtId="211" fontId="14" fillId="0" borderId="88" xfId="57" applyNumberFormat="1" applyFont="1" applyFill="1" applyBorder="1" applyAlignment="1">
      <alignment horizontal="right" vertical="center"/>
      <protection/>
    </xf>
    <xf numFmtId="211" fontId="14" fillId="0" borderId="130" xfId="57" applyNumberFormat="1" applyFont="1" applyFill="1" applyBorder="1" applyAlignment="1">
      <alignment vertical="center"/>
      <protection/>
    </xf>
    <xf numFmtId="211" fontId="14" fillId="0" borderId="131" xfId="57" applyNumberFormat="1" applyFont="1" applyFill="1" applyBorder="1" applyAlignment="1">
      <alignment vertical="center"/>
      <protection/>
    </xf>
    <xf numFmtId="0" fontId="14" fillId="4" borderId="96" xfId="57" applyFont="1" applyFill="1" applyBorder="1" applyAlignment="1">
      <alignment horizontal="right" vertical="center"/>
      <protection/>
    </xf>
    <xf numFmtId="211" fontId="14" fillId="0" borderId="97" xfId="57" applyNumberFormat="1" applyFont="1" applyFill="1" applyBorder="1" applyAlignment="1">
      <alignment horizontal="right" vertical="center"/>
      <protection/>
    </xf>
    <xf numFmtId="0" fontId="14" fillId="4" borderId="132" xfId="53" applyFont="1" applyFill="1" applyBorder="1" applyAlignment="1">
      <alignment vertical="center"/>
      <protection/>
    </xf>
    <xf numFmtId="0" fontId="14" fillId="0" borderId="103" xfId="53" applyFont="1" applyFill="1" applyBorder="1" applyAlignment="1">
      <alignment vertical="center"/>
      <protection/>
    </xf>
    <xf numFmtId="208" fontId="14" fillId="0" borderId="133" xfId="53" applyNumberFormat="1" applyFont="1" applyFill="1" applyBorder="1" applyAlignment="1">
      <alignment horizontal="right" vertical="center"/>
      <protection/>
    </xf>
    <xf numFmtId="208" fontId="14" fillId="0" borderId="103" xfId="53" applyNumberFormat="1" applyFont="1" applyFill="1" applyBorder="1" applyAlignment="1">
      <alignment vertical="center"/>
      <protection/>
    </xf>
    <xf numFmtId="208" fontId="14" fillId="0" borderId="133" xfId="53" applyNumberFormat="1" applyFont="1" applyFill="1" applyBorder="1" applyAlignment="1">
      <alignment vertical="center"/>
      <protection/>
    </xf>
    <xf numFmtId="211" fontId="14" fillId="0" borderId="103" xfId="53" applyNumberFormat="1" applyFont="1" applyFill="1" applyBorder="1" applyAlignment="1">
      <alignment vertical="center"/>
      <protection/>
    </xf>
    <xf numFmtId="212" fontId="14" fillId="0" borderId="103" xfId="53" applyNumberFormat="1" applyFont="1" applyFill="1" applyBorder="1" applyAlignment="1">
      <alignment vertical="center"/>
      <protection/>
    </xf>
    <xf numFmtId="0" fontId="14" fillId="0" borderId="134" xfId="53" applyFont="1" applyFill="1" applyBorder="1" applyAlignment="1">
      <alignment vertical="center"/>
      <protection/>
    </xf>
    <xf numFmtId="212" fontId="14" fillId="0" borderId="135" xfId="53" applyNumberFormat="1" applyFont="1" applyFill="1" applyBorder="1" applyAlignment="1">
      <alignment vertical="center"/>
      <protection/>
    </xf>
    <xf numFmtId="0" fontId="14" fillId="4" borderId="73" xfId="57" applyFont="1" applyFill="1" applyBorder="1" applyAlignment="1">
      <alignment horizontal="right" vertical="center"/>
      <protection/>
    </xf>
    <xf numFmtId="0" fontId="14" fillId="4" borderId="93" xfId="57" applyFont="1" applyFill="1" applyBorder="1" applyAlignment="1">
      <alignment horizontal="right" vertical="center"/>
      <protection/>
    </xf>
    <xf numFmtId="0" fontId="6" fillId="3" borderId="9" xfId="53" applyFont="1" applyFill="1" applyBorder="1" applyAlignment="1">
      <alignment horizontal="center" vertical="center"/>
      <protection/>
    </xf>
    <xf numFmtId="0" fontId="17" fillId="4" borderId="105" xfId="57" applyFont="1" applyFill="1" applyBorder="1" applyAlignment="1" applyProtection="1">
      <alignment vertical="center"/>
      <protection locked="0"/>
    </xf>
    <xf numFmtId="0" fontId="14" fillId="4" borderId="104" xfId="53" applyFont="1" applyFill="1" applyBorder="1" applyAlignment="1">
      <alignment vertical="center"/>
      <protection/>
    </xf>
    <xf numFmtId="0" fontId="17" fillId="4" borderId="102" xfId="57" applyFont="1" applyFill="1" applyBorder="1" applyAlignment="1" applyProtection="1">
      <alignment vertical="center"/>
      <protection locked="0"/>
    </xf>
    <xf numFmtId="0" fontId="17" fillId="0" borderId="103" xfId="57" applyFont="1" applyFill="1" applyBorder="1" applyAlignment="1" applyProtection="1">
      <alignment vertical="center"/>
      <protection locked="0"/>
    </xf>
    <xf numFmtId="208" fontId="18" fillId="0" borderId="103" xfId="57" applyNumberFormat="1" applyFont="1" applyFill="1" applyBorder="1" applyAlignment="1" applyProtection="1">
      <alignment horizontal="right" vertical="center"/>
      <protection locked="0"/>
    </xf>
    <xf numFmtId="0" fontId="17" fillId="4" borderId="136" xfId="57" applyFont="1" applyFill="1" applyBorder="1" applyAlignment="1" applyProtection="1">
      <alignment vertical="center"/>
      <protection locked="0"/>
    </xf>
    <xf numFmtId="208" fontId="17" fillId="0" borderId="133" xfId="57" applyNumberFormat="1" applyFont="1" applyFill="1" applyBorder="1" applyAlignment="1" applyProtection="1">
      <alignment vertical="center"/>
      <protection locked="0"/>
    </xf>
    <xf numFmtId="208" fontId="17" fillId="0" borderId="137" xfId="57" applyNumberFormat="1" applyFont="1" applyFill="1" applyBorder="1" applyAlignment="1" applyProtection="1">
      <alignment vertical="center"/>
      <protection locked="0"/>
    </xf>
    <xf numFmtId="0" fontId="17" fillId="4" borderId="138" xfId="57" applyFont="1" applyFill="1" applyBorder="1" applyAlignment="1" applyProtection="1">
      <alignment vertical="center"/>
      <protection locked="0"/>
    </xf>
    <xf numFmtId="208" fontId="17" fillId="0" borderId="139" xfId="57" applyNumberFormat="1" applyFont="1" applyFill="1" applyBorder="1" applyAlignment="1" applyProtection="1">
      <alignment vertical="center"/>
      <protection locked="0"/>
    </xf>
    <xf numFmtId="0" fontId="17" fillId="4" borderId="140" xfId="57" applyFont="1" applyFill="1" applyBorder="1" applyAlignment="1" applyProtection="1">
      <alignment vertical="center"/>
      <protection locked="0"/>
    </xf>
    <xf numFmtId="0" fontId="17" fillId="0" borderId="141" xfId="57" applyFont="1" applyFill="1" applyBorder="1" applyAlignment="1" applyProtection="1">
      <alignment vertical="center"/>
      <protection locked="0"/>
    </xf>
    <xf numFmtId="208" fontId="17" fillId="0" borderId="135" xfId="57" applyNumberFormat="1" applyFont="1" applyFill="1" applyBorder="1" applyAlignment="1" applyProtection="1">
      <alignment vertical="center"/>
      <protection locked="0"/>
    </xf>
    <xf numFmtId="0" fontId="14" fillId="4" borderId="142" xfId="57" applyFont="1" applyFill="1" applyBorder="1" applyAlignment="1">
      <alignment horizontal="right" vertical="center"/>
      <protection/>
    </xf>
    <xf numFmtId="212" fontId="14" fillId="0" borderId="143" xfId="57" applyNumberFormat="1" applyFont="1" applyFill="1" applyBorder="1" applyAlignment="1">
      <alignment vertical="center"/>
      <protection/>
    </xf>
    <xf numFmtId="0" fontId="14" fillId="4" borderId="144" xfId="0" applyFont="1" applyFill="1" applyBorder="1" applyAlignment="1">
      <alignment horizontal="left" vertical="center"/>
    </xf>
    <xf numFmtId="0" fontId="6" fillId="4" borderId="89" xfId="0" applyFont="1" applyFill="1" applyBorder="1" applyAlignment="1">
      <alignment horizontal="left" vertical="center"/>
    </xf>
    <xf numFmtId="9" fontId="6" fillId="4" borderId="90" xfId="53" applyNumberFormat="1" applyFont="1" applyFill="1" applyBorder="1" applyAlignment="1" quotePrefix="1">
      <alignment horizontal="center" vertical="center"/>
      <protection/>
    </xf>
    <xf numFmtId="0" fontId="14" fillId="4" borderId="89" xfId="0" applyFont="1" applyFill="1" applyBorder="1" applyAlignment="1">
      <alignment horizontal="left" vertical="center"/>
    </xf>
    <xf numFmtId="218" fontId="14" fillId="0" borderId="90" xfId="53" applyNumberFormat="1" applyFont="1" applyFill="1" applyBorder="1" applyAlignment="1">
      <alignment vertical="center"/>
      <protection/>
    </xf>
    <xf numFmtId="0" fontId="6" fillId="4" borderId="96" xfId="0" applyFont="1" applyFill="1" applyBorder="1" applyAlignment="1">
      <alignment horizontal="left" vertical="center"/>
    </xf>
    <xf numFmtId="9" fontId="6" fillId="4" borderId="78" xfId="53" applyNumberFormat="1" applyFont="1" applyFill="1" applyBorder="1" applyAlignment="1" quotePrefix="1">
      <alignment horizontal="center" vertical="center"/>
      <protection/>
    </xf>
    <xf numFmtId="9" fontId="6" fillId="4" borderId="97" xfId="53" applyNumberFormat="1" applyFont="1" applyFill="1" applyBorder="1" applyAlignment="1" quotePrefix="1">
      <alignment horizontal="center" vertical="center"/>
      <protection/>
    </xf>
    <xf numFmtId="0" fontId="14" fillId="4" borderId="145" xfId="0" applyFont="1" applyFill="1" applyBorder="1" applyAlignment="1">
      <alignment horizontal="left" vertical="center"/>
    </xf>
    <xf numFmtId="9" fontId="14" fillId="0" borderId="146" xfId="50" applyFont="1" applyFill="1" applyBorder="1" applyAlignment="1">
      <alignment vertical="center"/>
    </xf>
    <xf numFmtId="0" fontId="14" fillId="4" borderId="129" xfId="0" applyFont="1" applyFill="1" applyBorder="1" applyAlignment="1">
      <alignment horizontal="left" vertical="center"/>
    </xf>
    <xf numFmtId="218" fontId="14" fillId="0" borderId="147" xfId="53" applyNumberFormat="1" applyFont="1" applyFill="1" applyBorder="1" applyAlignment="1">
      <alignment vertical="center"/>
      <protection/>
    </xf>
    <xf numFmtId="218" fontId="14" fillId="0" borderId="116" xfId="53" applyNumberFormat="1" applyFont="1" applyFill="1" applyBorder="1" applyAlignment="1">
      <alignment vertical="center"/>
      <protection/>
    </xf>
    <xf numFmtId="218" fontId="14" fillId="0" borderId="92" xfId="53" applyNumberFormat="1" applyFont="1" applyFill="1" applyBorder="1" applyAlignment="1">
      <alignment vertical="center"/>
      <protection/>
    </xf>
    <xf numFmtId="0" fontId="14" fillId="4" borderId="148" xfId="0" applyFont="1" applyFill="1" applyBorder="1" applyAlignment="1">
      <alignment horizontal="left" vertical="center"/>
    </xf>
    <xf numFmtId="218" fontId="14" fillId="0" borderId="143" xfId="53" applyNumberFormat="1" applyFont="1" applyFill="1" applyBorder="1" applyAlignment="1">
      <alignment vertical="center"/>
      <protection/>
    </xf>
    <xf numFmtId="0" fontId="16" fillId="4" borderId="109" xfId="57" applyFont="1" applyFill="1" applyBorder="1" applyAlignment="1">
      <alignment horizontal="center" vertical="center"/>
      <protection/>
    </xf>
    <xf numFmtId="0" fontId="14" fillId="0" borderId="110" xfId="53" applyFont="1" applyFill="1" applyBorder="1" applyAlignment="1">
      <alignment vertical="center"/>
      <protection/>
    </xf>
    <xf numFmtId="0" fontId="14" fillId="0" borderId="111" xfId="53" applyFont="1" applyFill="1" applyBorder="1" applyAlignment="1">
      <alignment vertical="center"/>
      <protection/>
    </xf>
    <xf numFmtId="202" fontId="14" fillId="0" borderId="89" xfId="53" applyNumberFormat="1" applyFont="1" applyFill="1" applyBorder="1" applyAlignment="1">
      <alignment vertical="center"/>
      <protection/>
    </xf>
    <xf numFmtId="0" fontId="14" fillId="0" borderId="89" xfId="53" applyFont="1" applyFill="1" applyBorder="1" applyAlignment="1">
      <alignment vertical="center"/>
      <protection/>
    </xf>
    <xf numFmtId="0" fontId="14" fillId="4" borderId="90" xfId="53" applyFont="1" applyFill="1" applyBorder="1" applyAlignment="1">
      <alignment horizontal="center" vertical="center"/>
      <protection/>
    </xf>
    <xf numFmtId="203" fontId="14" fillId="0" borderId="149" xfId="53" applyNumberFormat="1" applyFont="1" applyFill="1" applyBorder="1" applyAlignment="1">
      <alignment vertical="center"/>
      <protection/>
    </xf>
    <xf numFmtId="218" fontId="14" fillId="0" borderId="97" xfId="53" applyNumberFormat="1" applyFont="1" applyFill="1" applyBorder="1" applyAlignment="1">
      <alignment vertical="center"/>
      <protection/>
    </xf>
    <xf numFmtId="208" fontId="14" fillId="0" borderId="90" xfId="53" applyNumberFormat="1" applyFont="1" applyFill="1" applyBorder="1" applyAlignment="1">
      <alignment horizontal="right" vertical="center"/>
      <protection/>
    </xf>
    <xf numFmtId="0" fontId="14" fillId="4" borderId="88" xfId="53" applyFont="1" applyFill="1" applyBorder="1" applyAlignment="1">
      <alignment horizontal="center" vertical="center"/>
      <protection/>
    </xf>
    <xf numFmtId="44" fontId="14" fillId="0" borderId="90" xfId="77" applyFont="1" applyFill="1" applyBorder="1" applyAlignment="1">
      <alignment vertical="center"/>
    </xf>
    <xf numFmtId="0" fontId="6" fillId="3" borderId="47" xfId="53" applyFont="1" applyFill="1" applyBorder="1" applyAlignment="1">
      <alignment horizontal="center" vertical="center"/>
      <protection/>
    </xf>
    <xf numFmtId="0" fontId="14" fillId="0" borderId="150" xfId="53" applyFont="1" applyFill="1" applyBorder="1" applyAlignment="1">
      <alignment vertical="center"/>
      <protection/>
    </xf>
    <xf numFmtId="0" fontId="14" fillId="4" borderId="148" xfId="53" applyFont="1" applyFill="1" applyBorder="1" applyAlignment="1">
      <alignment vertical="center"/>
      <protection/>
    </xf>
    <xf numFmtId="0" fontId="6" fillId="4" borderId="87" xfId="53" applyFont="1" applyFill="1" applyBorder="1" applyAlignment="1">
      <alignment vertical="center"/>
      <protection/>
    </xf>
    <xf numFmtId="0" fontId="14" fillId="4" borderId="96" xfId="53" applyFont="1" applyFill="1" applyBorder="1" applyAlignment="1">
      <alignment vertical="center"/>
      <protection/>
    </xf>
    <xf numFmtId="0" fontId="14" fillId="0" borderId="87" xfId="53" applyFont="1" applyFill="1" applyBorder="1" applyAlignment="1">
      <alignment vertical="center"/>
      <protection/>
    </xf>
    <xf numFmtId="0" fontId="6" fillId="4" borderId="112" xfId="0" applyFont="1" applyFill="1" applyBorder="1" applyAlignment="1">
      <alignment horizontal="right" vertical="center"/>
    </xf>
    <xf numFmtId="6" fontId="14" fillId="0" borderId="86" xfId="53" applyNumberFormat="1" applyFont="1" applyFill="1" applyBorder="1" applyAlignment="1">
      <alignment horizontal="right" vertical="center"/>
      <protection/>
    </xf>
    <xf numFmtId="44" fontId="14" fillId="0" borderId="86" xfId="53" applyNumberFormat="1" applyFont="1" applyFill="1" applyBorder="1" applyAlignment="1">
      <alignment horizontal="right" vertical="center"/>
      <protection/>
    </xf>
    <xf numFmtId="222" fontId="14" fillId="0" borderId="86" xfId="53" applyNumberFormat="1" applyFont="1" applyFill="1" applyBorder="1" applyAlignment="1">
      <alignment horizontal="right" vertical="center"/>
      <protection/>
    </xf>
    <xf numFmtId="222" fontId="14" fillId="0" borderId="151" xfId="53" applyNumberFormat="1" applyFont="1" applyFill="1" applyBorder="1" applyAlignment="1">
      <alignment horizontal="right" vertical="center"/>
      <protection/>
    </xf>
    <xf numFmtId="6" fontId="14" fillId="0" borderId="152" xfId="53" applyNumberFormat="1" applyFont="1" applyFill="1" applyBorder="1" applyAlignment="1">
      <alignment vertical="center"/>
      <protection/>
    </xf>
    <xf numFmtId="6" fontId="14" fillId="0" borderId="86" xfId="53" applyNumberFormat="1" applyFont="1" applyFill="1" applyBorder="1" applyAlignment="1">
      <alignment vertical="center"/>
      <protection/>
    </xf>
    <xf numFmtId="6" fontId="14" fillId="0" borderId="153" xfId="53" applyNumberFormat="1" applyFont="1" applyFill="1" applyBorder="1" applyAlignment="1">
      <alignment vertical="center"/>
      <protection/>
    </xf>
    <xf numFmtId="6" fontId="14" fillId="0" borderId="151" xfId="53" applyNumberFormat="1" applyFont="1" applyFill="1" applyBorder="1" applyAlignment="1">
      <alignment vertical="center"/>
      <protection/>
    </xf>
    <xf numFmtId="6" fontId="14" fillId="0" borderId="154" xfId="53" applyNumberFormat="1" applyFont="1" applyFill="1" applyBorder="1" applyAlignment="1">
      <alignment vertical="center"/>
      <protection/>
    </xf>
    <xf numFmtId="44" fontId="14" fillId="0" borderId="155" xfId="53" applyNumberFormat="1" applyFont="1" applyFill="1" applyBorder="1" applyAlignment="1">
      <alignment vertical="center"/>
      <protection/>
    </xf>
    <xf numFmtId="0" fontId="14" fillId="4" borderId="155" xfId="53" applyFont="1" applyFill="1" applyBorder="1" applyAlignment="1">
      <alignment horizontal="right" vertical="center"/>
      <protection/>
    </xf>
    <xf numFmtId="0" fontId="6" fillId="4" borderId="119" xfId="53" applyFont="1" applyFill="1" applyBorder="1" applyAlignment="1">
      <alignment horizontal="center" vertical="center"/>
      <protection/>
    </xf>
    <xf numFmtId="9" fontId="14" fillId="0" borderId="156" xfId="50" applyFont="1" applyFill="1" applyBorder="1" applyAlignment="1">
      <alignment horizontal="center" vertical="center"/>
    </xf>
    <xf numFmtId="0" fontId="6" fillId="4" borderId="132" xfId="0" applyFont="1" applyFill="1" applyBorder="1" applyAlignment="1">
      <alignment horizontal="right" vertical="center"/>
    </xf>
    <xf numFmtId="0" fontId="14" fillId="4" borderId="137" xfId="0" applyFont="1" applyFill="1" applyBorder="1" applyAlignment="1">
      <alignment horizontal="center" vertical="center"/>
    </xf>
    <xf numFmtId="0" fontId="14" fillId="4" borderId="87" xfId="0" applyFont="1" applyFill="1" applyBorder="1" applyAlignment="1">
      <alignment horizontal="right" vertical="center"/>
    </xf>
    <xf numFmtId="202" fontId="14" fillId="0" borderId="88" xfId="0" applyNumberFormat="1" applyFont="1" applyFill="1" applyBorder="1" applyAlignment="1">
      <alignment horizontal="center" vertical="center"/>
    </xf>
    <xf numFmtId="0" fontId="14" fillId="4" borderId="89" xfId="0" applyFont="1" applyFill="1" applyBorder="1" applyAlignment="1">
      <alignment horizontal="right" vertical="center"/>
    </xf>
    <xf numFmtId="0" fontId="14" fillId="0" borderId="90" xfId="0" applyFont="1" applyFill="1" applyBorder="1" applyAlignment="1">
      <alignment vertical="center"/>
    </xf>
    <xf numFmtId="0" fontId="6" fillId="4" borderId="89" xfId="0" applyFont="1" applyFill="1" applyBorder="1" applyAlignment="1">
      <alignment horizontal="right" vertical="center"/>
    </xf>
    <xf numFmtId="210" fontId="14" fillId="0" borderId="90" xfId="0" applyNumberFormat="1" applyFont="1" applyFill="1" applyBorder="1" applyAlignment="1">
      <alignment horizontal="right" vertical="center"/>
    </xf>
    <xf numFmtId="0" fontId="6" fillId="0" borderId="90" xfId="0" applyFont="1" applyFill="1" applyBorder="1" applyAlignment="1">
      <alignment vertical="center"/>
    </xf>
    <xf numFmtId="0" fontId="14" fillId="0" borderId="90" xfId="0" applyFont="1" applyFill="1" applyBorder="1" applyAlignment="1">
      <alignment horizontal="left" vertical="center"/>
    </xf>
    <xf numFmtId="226" fontId="14" fillId="0" borderId="90" xfId="0" applyNumberFormat="1" applyFont="1" applyFill="1" applyBorder="1" applyAlignment="1">
      <alignment horizontal="right" vertical="center"/>
    </xf>
    <xf numFmtId="6" fontId="14" fillId="0" borderId="90" xfId="0" applyNumberFormat="1" applyFont="1" applyFill="1" applyBorder="1" applyAlignment="1">
      <alignment vertical="center"/>
    </xf>
    <xf numFmtId="3" fontId="14" fillId="0" borderId="90" xfId="15" applyNumberFormat="1" applyFont="1" applyFill="1" applyBorder="1" applyAlignment="1">
      <alignment horizontal="left" vertical="center"/>
    </xf>
    <xf numFmtId="9" fontId="19" fillId="0" borderId="90" xfId="50" applyFont="1" applyFill="1" applyBorder="1" applyAlignment="1">
      <alignment horizontal="left" vertical="center"/>
    </xf>
    <xf numFmtId="210" fontId="14" fillId="0" borderId="90" xfId="0" applyNumberFormat="1" applyFont="1" applyFill="1" applyBorder="1" applyAlignment="1">
      <alignment vertical="center"/>
    </xf>
    <xf numFmtId="1" fontId="14" fillId="0" borderId="90" xfId="50" applyNumberFormat="1" applyFont="1" applyFill="1" applyBorder="1" applyAlignment="1">
      <alignment horizontal="left" vertical="center"/>
    </xf>
    <xf numFmtId="3" fontId="14" fillId="0" borderId="90" xfId="15" applyNumberFormat="1" applyFont="1" applyFill="1" applyBorder="1" applyAlignment="1">
      <alignment horizontal="right" vertical="center"/>
    </xf>
    <xf numFmtId="186" fontId="14" fillId="0" borderId="90" xfId="50" applyNumberFormat="1" applyFont="1" applyFill="1" applyBorder="1" applyAlignment="1">
      <alignment horizontal="right" vertical="center"/>
    </xf>
    <xf numFmtId="185" fontId="14" fillId="0" borderId="90" xfId="50" applyNumberFormat="1" applyFont="1" applyFill="1" applyBorder="1" applyAlignment="1">
      <alignment vertical="center"/>
    </xf>
    <xf numFmtId="0" fontId="14" fillId="4" borderId="91" xfId="0" applyFont="1" applyFill="1" applyBorder="1" applyAlignment="1">
      <alignment horizontal="right" vertical="center"/>
    </xf>
    <xf numFmtId="230" fontId="6" fillId="0" borderId="112" xfId="50" applyNumberFormat="1" applyFont="1" applyFill="1" applyBorder="1" applyAlignment="1">
      <alignment vertical="center"/>
    </xf>
    <xf numFmtId="210" fontId="14" fillId="0" borderId="86" xfId="0" applyNumberFormat="1" applyFont="1" applyFill="1" applyBorder="1" applyAlignment="1">
      <alignment vertical="center"/>
    </xf>
    <xf numFmtId="0" fontId="14" fillId="0" borderId="154" xfId="53" applyFont="1" applyFill="1" applyBorder="1" applyAlignment="1">
      <alignment vertical="center"/>
      <protection/>
    </xf>
    <xf numFmtId="10" fontId="14" fillId="0" borderId="90" xfId="50" applyNumberFormat="1" applyFont="1" applyFill="1" applyBorder="1" applyAlignment="1">
      <alignment horizontal="left" vertical="center"/>
    </xf>
    <xf numFmtId="1" fontId="19" fillId="0" borderId="90" xfId="50" applyNumberFormat="1" applyFont="1" applyFill="1" applyBorder="1" applyAlignment="1">
      <alignment horizontal="left" vertical="center"/>
    </xf>
    <xf numFmtId="3" fontId="14" fillId="0" borderId="90" xfId="0" applyNumberFormat="1" applyFont="1" applyFill="1" applyBorder="1" applyAlignment="1">
      <alignment horizontal="left" vertical="center"/>
    </xf>
    <xf numFmtId="185" fontId="14" fillId="0" borderId="90" xfId="0" applyNumberFormat="1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left" vertical="center"/>
    </xf>
    <xf numFmtId="0" fontId="14" fillId="4" borderId="96" xfId="0" applyFont="1" applyFill="1" applyBorder="1" applyAlignment="1">
      <alignment horizontal="right" vertical="center"/>
    </xf>
    <xf numFmtId="185" fontId="19" fillId="0" borderId="97" xfId="50" applyNumberFormat="1" applyFont="1" applyFill="1" applyBorder="1" applyAlignment="1">
      <alignment vertical="center"/>
    </xf>
    <xf numFmtId="209" fontId="14" fillId="0" borderId="77" xfId="53" applyNumberFormat="1" applyFont="1" applyFill="1" applyBorder="1" applyAlignment="1">
      <alignment vertical="center"/>
      <protection/>
    </xf>
    <xf numFmtId="210" fontId="14" fillId="0" borderId="152" xfId="0" applyNumberFormat="1" applyFont="1" applyFill="1" applyBorder="1" applyAlignment="1">
      <alignment vertical="center"/>
    </xf>
    <xf numFmtId="209" fontId="14" fillId="0" borderId="77" xfId="0" applyNumberFormat="1" applyFont="1" applyFill="1" applyBorder="1" applyAlignment="1">
      <alignment vertical="center"/>
    </xf>
    <xf numFmtId="185" fontId="14" fillId="0" borderId="88" xfId="50" applyNumberFormat="1" applyFont="1" applyFill="1" applyBorder="1" applyAlignment="1">
      <alignment vertical="center"/>
    </xf>
    <xf numFmtId="8" fontId="14" fillId="0" borderId="78" xfId="0" applyNumberFormat="1" applyFont="1" applyFill="1" applyBorder="1" applyAlignment="1">
      <alignment vertical="center"/>
    </xf>
    <xf numFmtId="0" fontId="14" fillId="0" borderId="97" xfId="0" applyFont="1" applyFill="1" applyBorder="1" applyAlignment="1">
      <alignment horizontal="left" vertical="center"/>
    </xf>
    <xf numFmtId="0" fontId="14" fillId="4" borderId="152" xfId="53" applyFont="1" applyFill="1" applyBorder="1" applyAlignment="1">
      <alignment horizontal="center" vertical="center"/>
      <protection/>
    </xf>
    <xf numFmtId="218" fontId="7" fillId="5" borderId="2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0" fontId="7" fillId="4" borderId="34" xfId="0" applyFont="1" applyFill="1" applyBorder="1" applyAlignment="1">
      <alignment horizontal="right"/>
    </xf>
    <xf numFmtId="0" fontId="7" fillId="4" borderId="15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8" fillId="4" borderId="85" xfId="0" applyFont="1" applyFill="1" applyBorder="1" applyAlignment="1">
      <alignment horizontal="right"/>
    </xf>
    <xf numFmtId="0" fontId="8" fillId="4" borderId="41" xfId="0" applyFont="1" applyFill="1" applyBorder="1" applyAlignment="1">
      <alignment horizontal="right"/>
    </xf>
    <xf numFmtId="0" fontId="8" fillId="4" borderId="157" xfId="0" applyFont="1" applyFill="1" applyBorder="1" applyAlignment="1">
      <alignment horizontal="right"/>
    </xf>
    <xf numFmtId="0" fontId="8" fillId="4" borderId="65" xfId="0" applyFont="1" applyFill="1" applyBorder="1" applyAlignment="1">
      <alignment horizontal="right"/>
    </xf>
    <xf numFmtId="174" fontId="7" fillId="5" borderId="5" xfId="0" applyNumberFormat="1" applyFont="1" applyFill="1" applyBorder="1" applyAlignment="1">
      <alignment horizontal="center"/>
    </xf>
    <xf numFmtId="0" fontId="8" fillId="4" borderId="69" xfId="0" applyFont="1" applyFill="1" applyBorder="1" applyAlignment="1">
      <alignment horizontal="center"/>
    </xf>
    <xf numFmtId="0" fontId="8" fillId="4" borderId="158" xfId="0" applyFont="1" applyFill="1" applyBorder="1" applyAlignment="1">
      <alignment horizontal="center"/>
    </xf>
    <xf numFmtId="0" fontId="8" fillId="4" borderId="159" xfId="0" applyFont="1" applyFill="1" applyBorder="1" applyAlignment="1">
      <alignment horizontal="center"/>
    </xf>
    <xf numFmtId="0" fontId="7" fillId="2" borderId="18" xfId="53" applyFont="1" applyFill="1" applyBorder="1" applyAlignment="1">
      <alignment horizontal="left"/>
      <protection/>
    </xf>
    <xf numFmtId="0" fontId="7" fillId="2" borderId="0" xfId="53" applyFont="1" applyFill="1" applyBorder="1" applyAlignment="1">
      <alignment horizontal="left"/>
      <protection/>
    </xf>
    <xf numFmtId="0" fontId="7" fillId="2" borderId="39" xfId="53" applyFont="1" applyFill="1" applyBorder="1" applyAlignment="1">
      <alignment horizontal="left"/>
      <protection/>
    </xf>
    <xf numFmtId="0" fontId="8" fillId="4" borderId="160" xfId="53" applyFont="1" applyFill="1" applyBorder="1" applyAlignment="1">
      <alignment horizontal="center"/>
      <protection/>
    </xf>
    <xf numFmtId="0" fontId="8" fillId="4" borderId="54" xfId="53" applyFont="1" applyFill="1" applyBorder="1" applyAlignment="1">
      <alignment horizontal="center"/>
      <protection/>
    </xf>
    <xf numFmtId="0" fontId="8" fillId="4" borderId="31" xfId="53" applyFont="1" applyFill="1" applyBorder="1" applyAlignment="1">
      <alignment horizontal="center"/>
      <protection/>
    </xf>
    <xf numFmtId="0" fontId="7" fillId="4" borderId="18" xfId="53" applyFont="1" applyFill="1" applyBorder="1" applyAlignment="1">
      <alignment horizontal="center"/>
      <protection/>
    </xf>
    <xf numFmtId="0" fontId="7" fillId="4" borderId="39" xfId="53" applyFont="1" applyFill="1" applyBorder="1" applyAlignment="1">
      <alignment horizontal="center"/>
      <protection/>
    </xf>
    <xf numFmtId="0" fontId="7" fillId="2" borderId="19" xfId="53" applyFont="1" applyFill="1" applyBorder="1" applyAlignment="1">
      <alignment horizontal="left"/>
      <protection/>
    </xf>
    <xf numFmtId="0" fontId="7" fillId="2" borderId="23" xfId="53" applyFont="1" applyFill="1" applyBorder="1" applyAlignment="1">
      <alignment horizontal="center"/>
      <protection/>
    </xf>
    <xf numFmtId="0" fontId="7" fillId="2" borderId="21" xfId="53" applyFont="1" applyFill="1" applyBorder="1" applyAlignment="1">
      <alignment horizontal="center"/>
      <protection/>
    </xf>
    <xf numFmtId="0" fontId="7" fillId="4" borderId="160" xfId="53" applyFont="1" applyFill="1" applyBorder="1" applyAlignment="1">
      <alignment horizontal="center"/>
      <protection/>
    </xf>
    <xf numFmtId="0" fontId="7" fillId="4" borderId="54" xfId="53" applyFont="1" applyFill="1" applyBorder="1" applyAlignment="1">
      <alignment horizontal="center"/>
      <protection/>
    </xf>
    <xf numFmtId="0" fontId="7" fillId="4" borderId="31" xfId="53" applyFont="1" applyFill="1" applyBorder="1" applyAlignment="1">
      <alignment horizontal="center"/>
      <protection/>
    </xf>
    <xf numFmtId="0" fontId="7" fillId="4" borderId="160" xfId="57" applyFont="1" applyFill="1" applyBorder="1" applyAlignment="1" applyProtection="1">
      <alignment horizontal="center"/>
      <protection locked="0"/>
    </xf>
    <xf numFmtId="0" fontId="7" fillId="4" borderId="54" xfId="57" applyFont="1" applyFill="1" applyBorder="1" applyAlignment="1" applyProtection="1">
      <alignment horizontal="center"/>
      <protection locked="0"/>
    </xf>
    <xf numFmtId="0" fontId="7" fillId="4" borderId="31" xfId="57" applyFont="1" applyFill="1" applyBorder="1" applyAlignment="1" applyProtection="1">
      <alignment horizontal="center"/>
      <protection locked="0"/>
    </xf>
    <xf numFmtId="0" fontId="7" fillId="4" borderId="53" xfId="57" applyFont="1" applyFill="1" applyBorder="1" applyAlignment="1">
      <alignment horizontal="right"/>
      <protection/>
    </xf>
    <xf numFmtId="0" fontId="7" fillId="4" borderId="56" xfId="57" applyFont="1" applyFill="1" applyBorder="1" applyAlignment="1">
      <alignment horizontal="right"/>
      <protection/>
    </xf>
    <xf numFmtId="0" fontId="7" fillId="2" borderId="8" xfId="53" applyFont="1" applyFill="1" applyBorder="1" applyAlignment="1">
      <alignment horizontal="center" vertical="center" wrapText="1"/>
      <protection/>
    </xf>
    <xf numFmtId="0" fontId="7" fillId="2" borderId="13" xfId="53" applyFont="1" applyFill="1" applyBorder="1" applyAlignment="1">
      <alignment horizontal="center" vertical="center" wrapText="1"/>
      <protection/>
    </xf>
    <xf numFmtId="0" fontId="7" fillId="2" borderId="4" xfId="53" applyFont="1" applyFill="1" applyBorder="1" applyAlignment="1">
      <alignment horizontal="center"/>
      <protection/>
    </xf>
    <xf numFmtId="0" fontId="7" fillId="2" borderId="5" xfId="53" applyFont="1" applyFill="1" applyBorder="1" applyAlignment="1">
      <alignment horizontal="center"/>
      <protection/>
    </xf>
    <xf numFmtId="0" fontId="7" fillId="2" borderId="8" xfId="53" applyFont="1" applyFill="1" applyBorder="1" applyAlignment="1">
      <alignment horizontal="left"/>
      <protection/>
    </xf>
    <xf numFmtId="0" fontId="7" fillId="2" borderId="13" xfId="53" applyFont="1" applyFill="1" applyBorder="1" applyAlignment="1">
      <alignment horizontal="left"/>
      <protection/>
    </xf>
    <xf numFmtId="0" fontId="7" fillId="2" borderId="22" xfId="53" applyFont="1" applyFill="1" applyBorder="1" applyAlignment="1">
      <alignment horizontal="center"/>
      <protection/>
    </xf>
    <xf numFmtId="0" fontId="7" fillId="2" borderId="20" xfId="53" applyFont="1" applyFill="1" applyBorder="1" applyAlignment="1">
      <alignment horizontal="center"/>
      <protection/>
    </xf>
    <xf numFmtId="0" fontId="7" fillId="2" borderId="160" xfId="53" applyFont="1" applyFill="1" applyBorder="1" applyAlignment="1">
      <alignment horizontal="center"/>
      <protection/>
    </xf>
    <xf numFmtId="0" fontId="7" fillId="2" borderId="54" xfId="53" applyFont="1" applyFill="1" applyBorder="1" applyAlignment="1">
      <alignment horizontal="center"/>
      <protection/>
    </xf>
    <xf numFmtId="0" fontId="7" fillId="2" borderId="161" xfId="53" applyFont="1" applyFill="1" applyBorder="1" applyAlignment="1">
      <alignment horizontal="center"/>
      <protection/>
    </xf>
    <xf numFmtId="0" fontId="7" fillId="4" borderId="8" xfId="57" applyFont="1" applyFill="1" applyBorder="1" applyAlignment="1" applyProtection="1">
      <alignment horizontal="right"/>
      <protection locked="0"/>
    </xf>
    <xf numFmtId="0" fontId="7" fillId="4" borderId="13" xfId="57" applyFont="1" applyFill="1" applyBorder="1" applyAlignment="1" applyProtection="1">
      <alignment horizontal="right"/>
      <protection locked="0"/>
    </xf>
    <xf numFmtId="0" fontId="7" fillId="4" borderId="22" xfId="57" applyFont="1" applyFill="1" applyBorder="1" applyAlignment="1">
      <alignment horizontal="right"/>
      <protection/>
    </xf>
    <xf numFmtId="0" fontId="7" fillId="4" borderId="39" xfId="53" applyFont="1" applyFill="1" applyBorder="1" applyAlignment="1">
      <alignment horizontal="center" wrapText="1"/>
      <protection/>
    </xf>
    <xf numFmtId="0" fontId="7" fillId="4" borderId="20" xfId="53" applyFont="1" applyFill="1" applyBorder="1" applyAlignment="1">
      <alignment horizontal="center" wrapText="1"/>
      <protection/>
    </xf>
    <xf numFmtId="0" fontId="7" fillId="2" borderId="10" xfId="53" applyFont="1" applyFill="1" applyBorder="1" applyAlignment="1">
      <alignment horizontal="center"/>
      <protection/>
    </xf>
    <xf numFmtId="0" fontId="7" fillId="2" borderId="13" xfId="53" applyFont="1" applyFill="1" applyBorder="1" applyAlignment="1">
      <alignment horizontal="center"/>
      <protection/>
    </xf>
    <xf numFmtId="0" fontId="7" fillId="4" borderId="160" xfId="57" applyFont="1" applyFill="1" applyBorder="1" applyAlignment="1">
      <alignment horizontal="right"/>
      <protection/>
    </xf>
    <xf numFmtId="0" fontId="7" fillId="4" borderId="161" xfId="57" applyFont="1" applyFill="1" applyBorder="1" applyAlignment="1">
      <alignment horizontal="right"/>
      <protection/>
    </xf>
    <xf numFmtId="0" fontId="7" fillId="4" borderId="21" xfId="57" applyFont="1" applyFill="1" applyBorder="1" applyAlignment="1">
      <alignment horizontal="right"/>
      <protection/>
    </xf>
    <xf numFmtId="0" fontId="7" fillId="4" borderId="3" xfId="53" applyFont="1" applyFill="1" applyBorder="1" applyAlignment="1">
      <alignment horizontal="center"/>
      <protection/>
    </xf>
    <xf numFmtId="0" fontId="7" fillId="4" borderId="18" xfId="57" applyFont="1" applyFill="1" applyBorder="1" applyAlignment="1">
      <alignment horizontal="right"/>
      <protection/>
    </xf>
    <xf numFmtId="0" fontId="7" fillId="4" borderId="0" xfId="57" applyFont="1" applyFill="1" applyBorder="1" applyAlignment="1">
      <alignment horizontal="right"/>
      <protection/>
    </xf>
    <xf numFmtId="0" fontId="11" fillId="4" borderId="160" xfId="57" applyFont="1" applyFill="1" applyBorder="1" applyAlignment="1" applyProtection="1">
      <alignment horizontal="center"/>
      <protection locked="0"/>
    </xf>
    <xf numFmtId="0" fontId="11" fillId="4" borderId="54" xfId="57" applyFont="1" applyFill="1" applyBorder="1" applyAlignment="1" applyProtection="1">
      <alignment horizontal="center"/>
      <protection locked="0"/>
    </xf>
    <xf numFmtId="0" fontId="11" fillId="4" borderId="31" xfId="57" applyFont="1" applyFill="1" applyBorder="1" applyAlignment="1" applyProtection="1">
      <alignment horizontal="center"/>
      <protection locked="0"/>
    </xf>
    <xf numFmtId="0" fontId="7" fillId="4" borderId="17" xfId="57" applyFont="1" applyFill="1" applyBorder="1" applyAlignment="1" applyProtection="1">
      <alignment horizontal="right"/>
      <protection locked="0"/>
    </xf>
    <xf numFmtId="0" fontId="7" fillId="4" borderId="29" xfId="57" applyFont="1" applyFill="1" applyBorder="1" applyAlignment="1" applyProtection="1">
      <alignment horizontal="right"/>
      <protection locked="0"/>
    </xf>
    <xf numFmtId="0" fontId="7" fillId="0" borderId="1" xfId="53" applyFont="1" applyFill="1" applyBorder="1" applyAlignment="1">
      <alignment horizontal="center" wrapText="1"/>
      <protection/>
    </xf>
    <xf numFmtId="0" fontId="7" fillId="0" borderId="64" xfId="53" applyFont="1" applyFill="1" applyBorder="1" applyAlignment="1">
      <alignment horizontal="center" wrapText="1"/>
      <protection/>
    </xf>
    <xf numFmtId="0" fontId="13" fillId="4" borderId="160" xfId="57" applyFont="1" applyFill="1" applyBorder="1" applyAlignment="1">
      <alignment horizontal="center"/>
      <protection/>
    </xf>
    <xf numFmtId="0" fontId="13" fillId="4" borderId="54" xfId="57" applyFont="1" applyFill="1" applyBorder="1" applyAlignment="1">
      <alignment horizontal="center"/>
      <protection/>
    </xf>
    <xf numFmtId="0" fontId="8" fillId="4" borderId="162" xfId="0" applyFont="1" applyFill="1" applyBorder="1" applyAlignment="1">
      <alignment horizontal="center"/>
    </xf>
    <xf numFmtId="0" fontId="8" fillId="4" borderId="70" xfId="0" applyFont="1" applyFill="1" applyBorder="1" applyAlignment="1">
      <alignment horizontal="center"/>
    </xf>
    <xf numFmtId="0" fontId="8" fillId="4" borderId="68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10" fontId="7" fillId="3" borderId="5" xfId="50" applyNumberFormat="1" applyFont="1" applyFill="1" applyBorder="1" applyAlignment="1">
      <alignment horizontal="center"/>
    </xf>
    <xf numFmtId="210" fontId="7" fillId="0" borderId="5" xfId="0" applyNumberFormat="1" applyFont="1" applyBorder="1" applyAlignment="1">
      <alignment horizontal="center"/>
    </xf>
    <xf numFmtId="10" fontId="7" fillId="3" borderId="27" xfId="50" applyNumberFormat="1" applyFont="1" applyFill="1" applyBorder="1" applyAlignment="1">
      <alignment horizontal="center"/>
    </xf>
    <xf numFmtId="8" fontId="7" fillId="3" borderId="5" xfId="53" applyNumberFormat="1" applyFont="1" applyFill="1" applyBorder="1" applyAlignment="1">
      <alignment horizontal="center"/>
      <protection/>
    </xf>
    <xf numFmtId="0" fontId="7" fillId="3" borderId="5" xfId="53" applyFont="1" applyFill="1" applyBorder="1" applyAlignment="1">
      <alignment horizontal="center"/>
      <protection/>
    </xf>
    <xf numFmtId="210" fontId="7" fillId="3" borderId="5" xfId="53" applyNumberFormat="1" applyFont="1" applyFill="1" applyBorder="1" applyAlignment="1">
      <alignment horizontal="center"/>
      <protection/>
    </xf>
    <xf numFmtId="0" fontId="7" fillId="4" borderId="36" xfId="0" applyFont="1" applyFill="1" applyBorder="1" applyAlignment="1">
      <alignment horizontal="right"/>
    </xf>
    <xf numFmtId="0" fontId="7" fillId="4" borderId="47" xfId="0" applyFont="1" applyFill="1" applyBorder="1" applyAlignment="1">
      <alignment horizontal="right"/>
    </xf>
    <xf numFmtId="0" fontId="7" fillId="4" borderId="23" xfId="57" applyFont="1" applyFill="1" applyBorder="1" applyAlignment="1">
      <alignment horizontal="center"/>
      <protection/>
    </xf>
    <xf numFmtId="0" fontId="7" fillId="4" borderId="45" xfId="57" applyFont="1" applyFill="1" applyBorder="1" applyAlignment="1">
      <alignment horizontal="center"/>
      <protection/>
    </xf>
    <xf numFmtId="0" fontId="13" fillId="4" borderId="31" xfId="57" applyFont="1" applyFill="1" applyBorder="1" applyAlignment="1">
      <alignment horizontal="center"/>
      <protection/>
    </xf>
    <xf numFmtId="0" fontId="7" fillId="4" borderId="71" xfId="53" applyFont="1" applyFill="1" applyBorder="1" applyAlignment="1">
      <alignment horizontal="center"/>
      <protection/>
    </xf>
    <xf numFmtId="0" fontId="7" fillId="4" borderId="163" xfId="53" applyFont="1" applyFill="1" applyBorder="1" applyAlignment="1">
      <alignment horizontal="center"/>
      <protection/>
    </xf>
    <xf numFmtId="0" fontId="7" fillId="4" borderId="164" xfId="53" applyFont="1" applyFill="1" applyBorder="1" applyAlignment="1">
      <alignment horizontal="center"/>
      <protection/>
    </xf>
    <xf numFmtId="0" fontId="8" fillId="4" borderId="71" xfId="0" applyFont="1" applyFill="1" applyBorder="1" applyAlignment="1">
      <alignment horizontal="center"/>
    </xf>
    <xf numFmtId="0" fontId="8" fillId="4" borderId="163" xfId="0" applyFont="1" applyFill="1" applyBorder="1" applyAlignment="1">
      <alignment horizontal="center"/>
    </xf>
    <xf numFmtId="0" fontId="8" fillId="4" borderId="164" xfId="0" applyFont="1" applyFill="1" applyBorder="1" applyAlignment="1">
      <alignment horizontal="center"/>
    </xf>
    <xf numFmtId="0" fontId="8" fillId="4" borderId="47" xfId="0" applyFont="1" applyFill="1" applyBorder="1" applyAlignment="1">
      <alignment horizontal="center"/>
    </xf>
    <xf numFmtId="0" fontId="8" fillId="4" borderId="71" xfId="53" applyFont="1" applyFill="1" applyBorder="1" applyAlignment="1">
      <alignment horizontal="center"/>
      <protection/>
    </xf>
    <xf numFmtId="0" fontId="8" fillId="4" borderId="163" xfId="53" applyFont="1" applyFill="1" applyBorder="1" applyAlignment="1">
      <alignment horizontal="center"/>
      <protection/>
    </xf>
    <xf numFmtId="0" fontId="8" fillId="4" borderId="164" xfId="53" applyFont="1" applyFill="1" applyBorder="1" applyAlignment="1">
      <alignment horizontal="center"/>
      <protection/>
    </xf>
    <xf numFmtId="0" fontId="6" fillId="4" borderId="165" xfId="53" applyFont="1" applyFill="1" applyBorder="1" applyAlignment="1">
      <alignment horizontal="center" vertical="center"/>
      <protection/>
    </xf>
    <xf numFmtId="0" fontId="6" fillId="4" borderId="166" xfId="53" applyFont="1" applyFill="1" applyBorder="1" applyAlignment="1">
      <alignment horizontal="center" vertical="center"/>
      <protection/>
    </xf>
    <xf numFmtId="0" fontId="6" fillId="4" borderId="167" xfId="53" applyFont="1" applyFill="1" applyBorder="1" applyAlignment="1">
      <alignment horizontal="center" vertical="center"/>
      <protection/>
    </xf>
    <xf numFmtId="0" fontId="6" fillId="4" borderId="105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04" xfId="0" applyFont="1" applyFill="1" applyBorder="1" applyAlignment="1">
      <alignment horizontal="center" vertical="center"/>
    </xf>
    <xf numFmtId="0" fontId="14" fillId="0" borderId="129" xfId="0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/>
    </xf>
    <xf numFmtId="0" fontId="6" fillId="4" borderId="117" xfId="53" applyFont="1" applyFill="1" applyBorder="1" applyAlignment="1">
      <alignment horizontal="center" vertical="center"/>
      <protection/>
    </xf>
    <xf numFmtId="0" fontId="6" fillId="4" borderId="118" xfId="53" applyFont="1" applyFill="1" applyBorder="1" applyAlignment="1">
      <alignment horizontal="center" vertical="center"/>
      <protection/>
    </xf>
    <xf numFmtId="0" fontId="6" fillId="4" borderId="115" xfId="53" applyFont="1" applyFill="1" applyBorder="1" applyAlignment="1">
      <alignment horizontal="center" vertical="center"/>
      <protection/>
    </xf>
    <xf numFmtId="0" fontId="6" fillId="4" borderId="16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09" xfId="53" applyFont="1" applyFill="1" applyBorder="1" applyAlignment="1">
      <alignment horizontal="center" vertical="center"/>
      <protection/>
    </xf>
    <xf numFmtId="0" fontId="6" fillId="4" borderId="111" xfId="53" applyFont="1" applyFill="1" applyBorder="1" applyAlignment="1">
      <alignment horizontal="center" vertical="center"/>
      <protection/>
    </xf>
    <xf numFmtId="0" fontId="16" fillId="4" borderId="98" xfId="57" applyFont="1" applyFill="1" applyBorder="1" applyAlignment="1" applyProtection="1">
      <alignment horizontal="center" vertical="center"/>
      <protection locked="0"/>
    </xf>
    <xf numFmtId="0" fontId="16" fillId="4" borderId="169" xfId="57" applyFont="1" applyFill="1" applyBorder="1" applyAlignment="1" applyProtection="1">
      <alignment horizontal="center" vertical="center"/>
      <protection locked="0"/>
    </xf>
    <xf numFmtId="0" fontId="16" fillId="4" borderId="101" xfId="57" applyFont="1" applyFill="1" applyBorder="1" applyAlignment="1" applyProtection="1">
      <alignment horizontal="center" vertical="center"/>
      <protection locked="0"/>
    </xf>
    <xf numFmtId="0" fontId="14" fillId="4" borderId="168" xfId="57" applyFont="1" applyFill="1" applyBorder="1" applyAlignment="1" applyProtection="1">
      <alignment horizontal="right" vertical="center"/>
      <protection locked="0"/>
    </xf>
    <xf numFmtId="0" fontId="14" fillId="4" borderId="13" xfId="57" applyFont="1" applyFill="1" applyBorder="1" applyAlignment="1" applyProtection="1">
      <alignment horizontal="right" vertical="center"/>
      <protection locked="0"/>
    </xf>
    <xf numFmtId="0" fontId="14" fillId="4" borderId="106" xfId="57" applyFont="1" applyFill="1" applyBorder="1" applyAlignment="1" applyProtection="1">
      <alignment horizontal="right" vertical="center"/>
      <protection locked="0"/>
    </xf>
    <xf numFmtId="0" fontId="14" fillId="4" borderId="170" xfId="57" applyFont="1" applyFill="1" applyBorder="1" applyAlignment="1" applyProtection="1">
      <alignment horizontal="right" vertical="center"/>
      <protection locked="0"/>
    </xf>
    <xf numFmtId="0" fontId="6" fillId="4" borderId="122" xfId="57" applyFont="1" applyFill="1" applyBorder="1" applyAlignment="1">
      <alignment horizontal="center" vertical="center"/>
      <protection/>
    </xf>
    <xf numFmtId="0" fontId="6" fillId="4" borderId="124" xfId="57" applyFont="1" applyFill="1" applyBorder="1" applyAlignment="1">
      <alignment horizontal="center" vertical="center"/>
      <protection/>
    </xf>
    <xf numFmtId="0" fontId="6" fillId="4" borderId="98" xfId="0" applyFont="1" applyFill="1" applyBorder="1" applyAlignment="1">
      <alignment horizontal="center" vertical="center"/>
    </xf>
    <xf numFmtId="0" fontId="6" fillId="4" borderId="16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14" fillId="2" borderId="171" xfId="53" applyFont="1" applyFill="1" applyBorder="1" applyAlignment="1">
      <alignment horizontal="center" vertical="center"/>
      <protection/>
    </xf>
    <xf numFmtId="0" fontId="14" fillId="2" borderId="82" xfId="53" applyFont="1" applyFill="1" applyBorder="1" applyAlignment="1">
      <alignment horizontal="center" vertical="center"/>
      <protection/>
    </xf>
    <xf numFmtId="0" fontId="14" fillId="2" borderId="73" xfId="53" applyFont="1" applyFill="1" applyBorder="1" applyAlignment="1">
      <alignment horizontal="center" vertical="center"/>
      <protection/>
    </xf>
    <xf numFmtId="0" fontId="14" fillId="2" borderId="172" xfId="53" applyFont="1" applyFill="1" applyBorder="1" applyAlignment="1">
      <alignment horizontal="center" vertical="center"/>
      <protection/>
    </xf>
    <xf numFmtId="0" fontId="14" fillId="2" borderId="173" xfId="53" applyFont="1" applyFill="1" applyBorder="1" applyAlignment="1">
      <alignment horizontal="center" vertical="center"/>
      <protection/>
    </xf>
    <xf numFmtId="0" fontId="14" fillId="2" borderId="93" xfId="53" applyFont="1" applyFill="1" applyBorder="1" applyAlignment="1">
      <alignment horizontal="center" vertical="center"/>
      <protection/>
    </xf>
    <xf numFmtId="0" fontId="6" fillId="4" borderId="98" xfId="57" applyFont="1" applyFill="1" applyBorder="1" applyAlignment="1" applyProtection="1">
      <alignment horizontal="center" vertical="center"/>
      <protection locked="0"/>
    </xf>
    <xf numFmtId="0" fontId="6" fillId="4" borderId="169" xfId="57" applyFont="1" applyFill="1" applyBorder="1" applyAlignment="1" applyProtection="1">
      <alignment horizontal="center" vertical="center"/>
      <protection locked="0"/>
    </xf>
    <xf numFmtId="0" fontId="6" fillId="4" borderId="101" xfId="57" applyFont="1" applyFill="1" applyBorder="1" applyAlignment="1" applyProtection="1">
      <alignment horizontal="center" vertical="center"/>
      <protection locked="0"/>
    </xf>
    <xf numFmtId="0" fontId="14" fillId="4" borderId="110" xfId="53" applyFont="1" applyFill="1" applyBorder="1" applyAlignment="1">
      <alignment horizontal="center" vertical="center"/>
      <protection/>
    </xf>
    <xf numFmtId="0" fontId="14" fillId="4" borderId="111" xfId="53" applyFont="1" applyFill="1" applyBorder="1" applyAlignment="1">
      <alignment horizontal="center" vertical="center"/>
      <protection/>
    </xf>
    <xf numFmtId="0" fontId="6" fillId="4" borderId="101" xfId="0" applyFont="1" applyFill="1" applyBorder="1" applyAlignment="1">
      <alignment horizontal="center" vertical="center"/>
    </xf>
    <xf numFmtId="0" fontId="6" fillId="4" borderId="174" xfId="53" applyFont="1" applyFill="1" applyBorder="1" applyAlignment="1">
      <alignment horizontal="center" vertical="center"/>
      <protection/>
    </xf>
    <xf numFmtId="0" fontId="6" fillId="4" borderId="175" xfId="53" applyFont="1" applyFill="1" applyBorder="1" applyAlignment="1">
      <alignment horizontal="center" vertical="center"/>
      <protection/>
    </xf>
    <xf numFmtId="0" fontId="6" fillId="4" borderId="176" xfId="53" applyFont="1" applyFill="1" applyBorder="1" applyAlignment="1">
      <alignment horizontal="center" vertical="center"/>
      <protection/>
    </xf>
    <xf numFmtId="0" fontId="6" fillId="4" borderId="117" xfId="0" applyFont="1" applyFill="1" applyBorder="1" applyAlignment="1">
      <alignment horizontal="center" vertical="center"/>
    </xf>
    <xf numFmtId="0" fontId="6" fillId="4" borderId="115" xfId="0" applyFont="1" applyFill="1" applyBorder="1" applyAlignment="1">
      <alignment horizontal="center" vertical="center"/>
    </xf>
    <xf numFmtId="0" fontId="14" fillId="4" borderId="117" xfId="53" applyFont="1" applyFill="1" applyBorder="1" applyAlignment="1">
      <alignment horizontal="center" vertical="center"/>
      <protection/>
    </xf>
    <xf numFmtId="0" fontId="14" fillId="4" borderId="118" xfId="53" applyFont="1" applyFill="1" applyBorder="1" applyAlignment="1">
      <alignment horizontal="center" vertical="center"/>
      <protection/>
    </xf>
    <xf numFmtId="0" fontId="14" fillId="4" borderId="115" xfId="53" applyFont="1" applyFill="1" applyBorder="1" applyAlignment="1">
      <alignment horizontal="center" vertical="center"/>
      <protection/>
    </xf>
  </cellXfs>
  <cellStyles count="81">
    <cellStyle name="Normal" xfId="0"/>
    <cellStyle name="Comma" xfId="15"/>
    <cellStyle name="Comma [0]" xfId="16"/>
    <cellStyle name="Dezimal [0]_BWL.xls Diagramm 1" xfId="17"/>
    <cellStyle name="Dezimal [0]_BWL.xls Diagramm 16" xfId="18"/>
    <cellStyle name="Dezimal [0]_BWL1" xfId="19"/>
    <cellStyle name="Dezimal [0]_GPLAN-ROI-Int.xls Diagramm 17" xfId="20"/>
    <cellStyle name="Dezimal [0]_GPLAN-ROI-Int.xls Diagramm 2" xfId="21"/>
    <cellStyle name="Dezimal [0]_GPlan-SENS.xls Diagramm 148" xfId="22"/>
    <cellStyle name="Dezimal [0]_GPlan-WINF-xxxxxx" xfId="23"/>
    <cellStyle name="Dezimal [0]_G-UKV11-ORIG-xxx.XLS Diagramm 31" xfId="24"/>
    <cellStyle name="Dezimal [0]_G-UKV11-ORIG-xxx.XLS Diagramm 46" xfId="25"/>
    <cellStyle name="Dezimal [0]_SENS.xls Diagramm 19" xfId="26"/>
    <cellStyle name="Dezimal_BE" xfId="27"/>
    <cellStyle name="Dezimal_BWL" xfId="28"/>
    <cellStyle name="Dezimal_BWL.xls Diagramm 1" xfId="29"/>
    <cellStyle name="Dezimal_BWL.xls Diagramm 16" xfId="30"/>
    <cellStyle name="Dezimal_BWL1" xfId="31"/>
    <cellStyle name="Dezimal_BWL1.xls Diagramm 1" xfId="32"/>
    <cellStyle name="Dezimal_BWL1.xls Diagramm 59" xfId="33"/>
    <cellStyle name="Dezimal_GPLAN-ROI_e-11-98-xxx.xls Diagramm 40" xfId="34"/>
    <cellStyle name="Dezimal_GPLAN-ROI_e-11-98-xxx.xls Diagramm 55" xfId="35"/>
    <cellStyle name="Dezimal_GPLAN-ROI-Int.xls Diagramm 17" xfId="36"/>
    <cellStyle name="Dezimal_GPLAN-ROI-Int.xls Diagramm 2" xfId="37"/>
    <cellStyle name="Dezimal_GPlan-SENS.xls Diagramm 148" xfId="38"/>
    <cellStyle name="Dezimal_GPlan-WINF-xxxxxx" xfId="39"/>
    <cellStyle name="Dezimal_G-UKV11-ORIG-xxx.XLS Diagramm 31" xfId="40"/>
    <cellStyle name="Dezimal_G-UKV11-ORIG-xxx.XLS Diagramm 46" xfId="41"/>
    <cellStyle name="Dezimal_Mappe1 Diagramm 1" xfId="42"/>
    <cellStyle name="Dezimal_Mappe1 Diagramm 16" xfId="43"/>
    <cellStyle name="Dezimal_Mappe2 Diagramm 1" xfId="44"/>
    <cellStyle name="Dezimal_Mappe2 Diagramm 16" xfId="45"/>
    <cellStyle name="Dezimal_SENS.xls Diagramm 19" xfId="46"/>
    <cellStyle name="Dezimal_Üb" xfId="47"/>
    <cellStyle name="Dezimal_Übung 2" xfId="48"/>
    <cellStyle name="Komma0" xfId="49"/>
    <cellStyle name="Percent" xfId="50"/>
    <cellStyle name="Standard_BWL.xls Diagramm 1" xfId="51"/>
    <cellStyle name="Standard_BWL.xls Diagramm 16" xfId="52"/>
    <cellStyle name="Standard_BWL1" xfId="53"/>
    <cellStyle name="Standard_GPLAN-ROI-Int.xls Diagramm 17" xfId="54"/>
    <cellStyle name="Standard_GPLAN-ROI-Int.xls Diagramm 2" xfId="55"/>
    <cellStyle name="Standard_GPlan-SENS.xls Diagramm 148" xfId="56"/>
    <cellStyle name="Standard_GPlan-WINF-xxxxxx" xfId="57"/>
    <cellStyle name="Standard_G-UKV11-ORIG-xxx.XLS Diagramm 31" xfId="58"/>
    <cellStyle name="Standard_G-UKV11-ORIG-xxx.XLS Diagramm 46" xfId="59"/>
    <cellStyle name="Standard_SENS.xls Diagramm 19" xfId="60"/>
    <cellStyle name="Currency" xfId="61"/>
    <cellStyle name="Currency [0]" xfId="62"/>
    <cellStyle name="Währung [0]_BWL.xls Diagramm 1" xfId="63"/>
    <cellStyle name="Währung [0]_BWL.xls Diagramm 16" xfId="64"/>
    <cellStyle name="Währung [0]_BWL1" xfId="65"/>
    <cellStyle name="Währung [0]_GPLAN-ROI-Int.xls Diagramm 17" xfId="66"/>
    <cellStyle name="Währung [0]_GPLAN-ROI-Int.xls Diagramm 2" xfId="67"/>
    <cellStyle name="Währung [0]_GPlan-SENS.xls Diagramm 148" xfId="68"/>
    <cellStyle name="Währung [0]_GPlan-WINF-xxxxxx" xfId="69"/>
    <cellStyle name="Währung [0]_G-UKV11-ORIG-xxx.XLS Diagramm 31" xfId="70"/>
    <cellStyle name="Währung [0]_G-UKV11-ORIG-xxx.XLS Diagramm 46" xfId="71"/>
    <cellStyle name="Währung [0]_SENS.xls Diagramm 19" xfId="72"/>
    <cellStyle name="Währung_BE" xfId="73"/>
    <cellStyle name="Währung_BWL" xfId="74"/>
    <cellStyle name="Währung_BWL.xls Diagramm 1" xfId="75"/>
    <cellStyle name="Währung_BWL.xls Diagramm 16" xfId="76"/>
    <cellStyle name="Währung_BWL1" xfId="77"/>
    <cellStyle name="Währung_BWL1.xls Diagramm 1" xfId="78"/>
    <cellStyle name="Währung_BWL1.xls Diagramm 59" xfId="79"/>
    <cellStyle name="Währung_BWL1_1" xfId="80"/>
    <cellStyle name="Währung_GPLAN-ROI-Int.xls Diagramm 17" xfId="81"/>
    <cellStyle name="Währung_GPLAN-ROI-Int.xls Diagramm 2" xfId="82"/>
    <cellStyle name="Währung_GPlan-SENS.xls Diagramm 148" xfId="83"/>
    <cellStyle name="Währung_GPlan-WINF-xxxxxx" xfId="84"/>
    <cellStyle name="Währung_G-UKV11-ORIG-xxx.XLS Diagramm 31" xfId="85"/>
    <cellStyle name="Währung_G-UKV11-ORIG-xxx.XLS Diagramm 46" xfId="86"/>
    <cellStyle name="Währung_Mappe1 Diagramm 1" xfId="87"/>
    <cellStyle name="Währung_Mappe1 Diagramm 16" xfId="88"/>
    <cellStyle name="Währung_Mappe2 Diagramm 1" xfId="89"/>
    <cellStyle name="Währung_Mappe2 Diagramm 16" xfId="90"/>
    <cellStyle name="Währung_SENS.xls Diagramm 19" xfId="91"/>
    <cellStyle name="Währung_Üb" xfId="92"/>
    <cellStyle name="Währung_Übung 2" xfId="93"/>
    <cellStyle name="Währung0" xfId="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50</xdr:row>
      <xdr:rowOff>0</xdr:rowOff>
    </xdr:from>
    <xdr:to>
      <xdr:col>4</xdr:col>
      <xdr:colOff>0</xdr:colOff>
      <xdr:row>52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2514600" y="7715250"/>
          <a:ext cx="9620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9525</xdr:colOff>
      <xdr:row>56</xdr:row>
      <xdr:rowOff>19050</xdr:rowOff>
    </xdr:from>
    <xdr:to>
      <xdr:col>3</xdr:col>
      <xdr:colOff>771525</xdr:colOff>
      <xdr:row>60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2505075" y="8620125"/>
          <a:ext cx="7620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19050</xdr:rowOff>
    </xdr:from>
    <xdr:to>
      <xdr:col>3</xdr:col>
      <xdr:colOff>771525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495550" y="8315325"/>
          <a:ext cx="771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19050</xdr:rowOff>
    </xdr:from>
    <xdr:to>
      <xdr:col>4</xdr:col>
      <xdr:colOff>0</xdr:colOff>
      <xdr:row>63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495550" y="9353550"/>
          <a:ext cx="9810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19050</xdr:colOff>
      <xdr:row>56</xdr:row>
      <xdr:rowOff>19050</xdr:rowOff>
    </xdr:from>
    <xdr:to>
      <xdr:col>6</xdr:col>
      <xdr:colOff>876300</xdr:colOff>
      <xdr:row>56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5448300" y="8620125"/>
          <a:ext cx="8572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28575</xdr:colOff>
      <xdr:row>58</xdr:row>
      <xdr:rowOff>9525</xdr:rowOff>
    </xdr:from>
    <xdr:to>
      <xdr:col>6</xdr:col>
      <xdr:colOff>876300</xdr:colOff>
      <xdr:row>62</xdr:row>
      <xdr:rowOff>133350</xdr:rowOff>
    </xdr:to>
    <xdr:sp>
      <xdr:nvSpPr>
        <xdr:cNvPr id="6" name="Line 6"/>
        <xdr:cNvSpPr>
          <a:spLocks/>
        </xdr:cNvSpPr>
      </xdr:nvSpPr>
      <xdr:spPr>
        <a:xfrm flipH="1">
          <a:off x="5457825" y="8905875"/>
          <a:ext cx="8477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47</xdr:row>
      <xdr:rowOff>0</xdr:rowOff>
    </xdr:from>
    <xdr:to>
      <xdr:col>5</xdr:col>
      <xdr:colOff>0</xdr:colOff>
      <xdr:row>48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381375" y="9572625"/>
          <a:ext cx="1009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9525</xdr:colOff>
      <xdr:row>51</xdr:row>
      <xdr:rowOff>19050</xdr:rowOff>
    </xdr:from>
    <xdr:to>
      <xdr:col>4</xdr:col>
      <xdr:colOff>771525</xdr:colOff>
      <xdr:row>55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371850" y="10420350"/>
          <a:ext cx="7620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19050</xdr:rowOff>
    </xdr:from>
    <xdr:to>
      <xdr:col>4</xdr:col>
      <xdr:colOff>771525</xdr:colOff>
      <xdr:row>50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362325" y="10001250"/>
          <a:ext cx="771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19050</xdr:rowOff>
    </xdr:from>
    <xdr:to>
      <xdr:col>5</xdr:col>
      <xdr:colOff>0</xdr:colOff>
      <xdr:row>58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362325" y="11449050"/>
          <a:ext cx="10287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19050</xdr:colOff>
      <xdr:row>68</xdr:row>
      <xdr:rowOff>19050</xdr:rowOff>
    </xdr:from>
    <xdr:to>
      <xdr:col>4</xdr:col>
      <xdr:colOff>695325</xdr:colOff>
      <xdr:row>68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3381375" y="13906500"/>
          <a:ext cx="6762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28575</xdr:colOff>
      <xdr:row>70</xdr:row>
      <xdr:rowOff>9525</xdr:rowOff>
    </xdr:from>
    <xdr:to>
      <xdr:col>4</xdr:col>
      <xdr:colOff>876300</xdr:colOff>
      <xdr:row>74</xdr:row>
      <xdr:rowOff>133350</xdr:rowOff>
    </xdr:to>
    <xdr:sp>
      <xdr:nvSpPr>
        <xdr:cNvPr id="6" name="Line 6"/>
        <xdr:cNvSpPr>
          <a:spLocks/>
        </xdr:cNvSpPr>
      </xdr:nvSpPr>
      <xdr:spPr>
        <a:xfrm flipH="1">
          <a:off x="3390900" y="14325600"/>
          <a:ext cx="8477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238125</xdr:colOff>
      <xdr:row>77</xdr:row>
      <xdr:rowOff>28575</xdr:rowOff>
    </xdr:from>
    <xdr:to>
      <xdr:col>8</xdr:col>
      <xdr:colOff>238125</xdr:colOff>
      <xdr:row>78</xdr:row>
      <xdr:rowOff>142875</xdr:rowOff>
    </xdr:to>
    <xdr:sp>
      <xdr:nvSpPr>
        <xdr:cNvPr id="7" name="Line 7"/>
        <xdr:cNvSpPr>
          <a:spLocks/>
        </xdr:cNvSpPr>
      </xdr:nvSpPr>
      <xdr:spPr>
        <a:xfrm>
          <a:off x="8296275" y="157543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111121"/>
  <dimension ref="A1:H243"/>
  <sheetViews>
    <sheetView zoomScaleSheetLayoutView="25" workbookViewId="0" topLeftCell="A190">
      <selection activeCell="F127" sqref="F127"/>
    </sheetView>
  </sheetViews>
  <sheetFormatPr defaultColWidth="11.421875" defaultRowHeight="12.75"/>
  <cols>
    <col min="1" max="1" width="6.57421875" style="12" customWidth="1"/>
    <col min="2" max="2" width="16.00390625" style="12" customWidth="1"/>
    <col min="3" max="3" width="14.8515625" style="12" customWidth="1"/>
    <col min="4" max="4" width="14.7109375" style="12" customWidth="1"/>
    <col min="5" max="5" width="15.421875" style="12" bestFit="1" customWidth="1"/>
    <col min="6" max="6" width="13.8515625" style="12" bestFit="1" customWidth="1"/>
    <col min="7" max="7" width="13.421875" style="12" bestFit="1" customWidth="1"/>
    <col min="8" max="8" width="12.140625" style="12" bestFit="1" customWidth="1"/>
    <col min="9" max="16384" width="11.421875" style="12" customWidth="1"/>
  </cols>
  <sheetData>
    <row r="1" spans="1:8" s="4" customFormat="1" ht="22.5">
      <c r="A1" s="1"/>
      <c r="B1" s="2" t="s">
        <v>90</v>
      </c>
      <c r="C1" s="2" t="s">
        <v>91</v>
      </c>
      <c r="D1" s="2" t="s">
        <v>92</v>
      </c>
      <c r="E1" s="2" t="s">
        <v>93</v>
      </c>
      <c r="F1" s="3" t="s">
        <v>94</v>
      </c>
      <c r="G1" s="856" t="s">
        <v>95</v>
      </c>
      <c r="H1" s="857"/>
    </row>
    <row r="2" spans="1:8" ht="11.25">
      <c r="A2" s="5" t="s">
        <v>96</v>
      </c>
      <c r="B2" s="6">
        <v>4.1</v>
      </c>
      <c r="C2" s="7">
        <v>4.8</v>
      </c>
      <c r="D2" s="8">
        <v>244</v>
      </c>
      <c r="E2" s="7">
        <v>121</v>
      </c>
      <c r="F2" s="9">
        <f>D2*E2</f>
        <v>29524</v>
      </c>
      <c r="G2" s="10" t="s">
        <v>97</v>
      </c>
      <c r="H2" s="11">
        <v>780</v>
      </c>
    </row>
    <row r="3" spans="1:8" ht="11.25">
      <c r="A3" s="5" t="s">
        <v>98</v>
      </c>
      <c r="B3" s="6">
        <v>9.3</v>
      </c>
      <c r="C3" s="7">
        <v>4.6</v>
      </c>
      <c r="D3" s="8">
        <v>301</v>
      </c>
      <c r="E3" s="7">
        <v>30</v>
      </c>
      <c r="F3" s="9">
        <f>D3*E3</f>
        <v>9030</v>
      </c>
      <c r="G3" s="10" t="s">
        <v>99</v>
      </c>
      <c r="H3" s="11">
        <v>834</v>
      </c>
    </row>
    <row r="4" spans="1:8" ht="12" thickBot="1">
      <c r="A4" s="13" t="s">
        <v>100</v>
      </c>
      <c r="B4" s="14">
        <v>11.8</v>
      </c>
      <c r="C4" s="15">
        <v>4.3</v>
      </c>
      <c r="D4" s="16">
        <v>84</v>
      </c>
      <c r="E4" s="17">
        <v>81</v>
      </c>
      <c r="F4" s="18">
        <f>D4*E4</f>
        <v>6804</v>
      </c>
      <c r="G4" s="10" t="s">
        <v>101</v>
      </c>
      <c r="H4" s="11">
        <v>240</v>
      </c>
    </row>
    <row r="5" spans="1:8" ht="11.25">
      <c r="A5" s="13"/>
      <c r="B5" s="19" t="s">
        <v>102</v>
      </c>
      <c r="C5" s="19" t="s">
        <v>103</v>
      </c>
      <c r="D5" s="19" t="s">
        <v>104</v>
      </c>
      <c r="E5" s="20" t="s">
        <v>105</v>
      </c>
      <c r="F5" s="21" t="s">
        <v>106</v>
      </c>
      <c r="G5" s="10" t="s">
        <v>107</v>
      </c>
      <c r="H5" s="11">
        <v>380</v>
      </c>
    </row>
    <row r="6" spans="1:8" ht="11.25">
      <c r="A6" s="5" t="s">
        <v>96</v>
      </c>
      <c r="B6" s="22">
        <v>1.1</v>
      </c>
      <c r="C6" s="23">
        <f>B6*D2</f>
        <v>268.40000000000003</v>
      </c>
      <c r="D6" s="7">
        <v>0.41</v>
      </c>
      <c r="E6" s="24">
        <f>D6*D2</f>
        <v>100.03999999999999</v>
      </c>
      <c r="F6" s="25">
        <v>0.42</v>
      </c>
      <c r="G6" s="10" t="s">
        <v>108</v>
      </c>
      <c r="H6" s="11">
        <v>1328</v>
      </c>
    </row>
    <row r="7" spans="1:8" ht="11.25">
      <c r="A7" s="5" t="s">
        <v>98</v>
      </c>
      <c r="B7" s="22">
        <v>2.4</v>
      </c>
      <c r="C7" s="23">
        <f>B7*D3</f>
        <v>722.4</v>
      </c>
      <c r="D7" s="7">
        <v>0.39</v>
      </c>
      <c r="E7" s="24">
        <f>D7*D3</f>
        <v>117.39</v>
      </c>
      <c r="F7" s="26"/>
      <c r="G7" s="10" t="s">
        <v>109</v>
      </c>
      <c r="H7" s="11">
        <v>2630</v>
      </c>
    </row>
    <row r="8" spans="1:8" ht="12" thickBot="1">
      <c r="A8" s="5" t="s">
        <v>100</v>
      </c>
      <c r="B8" s="27">
        <v>2.3</v>
      </c>
      <c r="C8" s="28">
        <f>B8*D4</f>
        <v>193.2</v>
      </c>
      <c r="D8" s="29">
        <v>0.48</v>
      </c>
      <c r="E8" s="30">
        <f>D8*D4</f>
        <v>40.32</v>
      </c>
      <c r="F8" s="31"/>
      <c r="G8" s="10" t="s">
        <v>110</v>
      </c>
      <c r="H8" s="11">
        <v>1832</v>
      </c>
    </row>
    <row r="9" spans="1:8" ht="11.25">
      <c r="A9" s="13"/>
      <c r="B9" s="17"/>
      <c r="C9" s="32">
        <f>SUM(C6:C8)</f>
        <v>1184</v>
      </c>
      <c r="D9" s="17"/>
      <c r="E9" s="32">
        <f>SUM(E6:E8)</f>
        <v>257.75</v>
      </c>
      <c r="F9" s="33"/>
      <c r="G9" s="10" t="s">
        <v>111</v>
      </c>
      <c r="H9" s="11">
        <v>1860</v>
      </c>
    </row>
    <row r="10" spans="1:8" ht="11.25">
      <c r="A10" s="833" t="s">
        <v>3</v>
      </c>
      <c r="B10" s="818"/>
      <c r="C10" s="834"/>
      <c r="D10" s="817" t="s">
        <v>4</v>
      </c>
      <c r="E10" s="818"/>
      <c r="F10" s="818"/>
      <c r="G10" s="10" t="s">
        <v>112</v>
      </c>
      <c r="H10" s="11">
        <v>1684</v>
      </c>
    </row>
    <row r="11" spans="1:8" ht="11.25">
      <c r="A11" s="808" t="s">
        <v>113</v>
      </c>
      <c r="B11" s="809"/>
      <c r="C11" s="810"/>
      <c r="D11" s="816" t="s">
        <v>114</v>
      </c>
      <c r="E11" s="809"/>
      <c r="F11" s="809"/>
      <c r="G11" s="10" t="s">
        <v>115</v>
      </c>
      <c r="H11" s="11">
        <v>1648</v>
      </c>
    </row>
    <row r="12" spans="1:8" ht="11.25">
      <c r="A12" s="808" t="s">
        <v>116</v>
      </c>
      <c r="B12" s="809"/>
      <c r="C12" s="33">
        <v>4000</v>
      </c>
      <c r="D12" s="816" t="s">
        <v>1</v>
      </c>
      <c r="E12" s="809"/>
      <c r="F12" s="33">
        <v>5000</v>
      </c>
      <c r="G12" s="10" t="s">
        <v>117</v>
      </c>
      <c r="H12" s="11">
        <v>984</v>
      </c>
    </row>
    <row r="13" spans="1:8" ht="11.25">
      <c r="A13" s="808" t="s">
        <v>6</v>
      </c>
      <c r="B13" s="809"/>
      <c r="C13" s="37">
        <v>11036</v>
      </c>
      <c r="D13" s="816" t="s">
        <v>118</v>
      </c>
      <c r="E13" s="809"/>
      <c r="F13" s="33">
        <v>3000</v>
      </c>
      <c r="G13" s="10" t="s">
        <v>119</v>
      </c>
      <c r="H13" s="11">
        <v>1932</v>
      </c>
    </row>
    <row r="14" spans="1:8" ht="13.5">
      <c r="A14" s="38"/>
      <c r="B14" s="39"/>
      <c r="C14" s="40">
        <f>SUM(C12:C13)</f>
        <v>15036</v>
      </c>
      <c r="D14" s="816" t="s">
        <v>120</v>
      </c>
      <c r="E14" s="809"/>
      <c r="F14" s="33">
        <v>1800</v>
      </c>
      <c r="G14" s="10" t="s">
        <v>121</v>
      </c>
      <c r="H14" s="11">
        <v>886</v>
      </c>
    </row>
    <row r="15" spans="1:8" ht="13.5">
      <c r="A15" s="38"/>
      <c r="B15" s="39"/>
      <c r="C15" s="40"/>
      <c r="D15" s="816" t="s">
        <v>76</v>
      </c>
      <c r="E15" s="809"/>
      <c r="F15" s="41">
        <v>500</v>
      </c>
      <c r="G15" s="10" t="s">
        <v>122</v>
      </c>
      <c r="H15" s="11">
        <v>1300</v>
      </c>
    </row>
    <row r="16" spans="1:8" ht="13.5">
      <c r="A16" s="808" t="s">
        <v>123</v>
      </c>
      <c r="B16" s="809"/>
      <c r="C16" s="810"/>
      <c r="D16" s="36"/>
      <c r="E16" s="35"/>
      <c r="F16" s="40">
        <f>SUM(F12:F15)</f>
        <v>10300</v>
      </c>
      <c r="G16" s="10" t="s">
        <v>124</v>
      </c>
      <c r="H16" s="11">
        <v>920</v>
      </c>
    </row>
    <row r="17" spans="1:8" ht="11.25">
      <c r="A17" s="808" t="s">
        <v>8</v>
      </c>
      <c r="B17" s="809"/>
      <c r="C17" s="33">
        <v>3750</v>
      </c>
      <c r="D17" s="816" t="s">
        <v>125</v>
      </c>
      <c r="E17" s="809"/>
      <c r="F17" s="809"/>
      <c r="G17" s="10" t="s">
        <v>126</v>
      </c>
      <c r="H17" s="11">
        <v>980</v>
      </c>
    </row>
    <row r="18" spans="1:8" ht="11.25">
      <c r="A18" s="808" t="s">
        <v>9</v>
      </c>
      <c r="B18" s="809"/>
      <c r="C18" s="33">
        <v>4100</v>
      </c>
      <c r="D18" s="816" t="s">
        <v>5</v>
      </c>
      <c r="E18" s="809"/>
      <c r="F18" s="33">
        <v>11086</v>
      </c>
      <c r="G18" s="10" t="s">
        <v>127</v>
      </c>
      <c r="H18" s="11">
        <v>830</v>
      </c>
    </row>
    <row r="19" spans="1:8" ht="11.25">
      <c r="A19" s="808" t="s">
        <v>128</v>
      </c>
      <c r="B19" s="809"/>
      <c r="C19" s="37">
        <v>3500</v>
      </c>
      <c r="D19" s="816" t="s">
        <v>7</v>
      </c>
      <c r="E19" s="809"/>
      <c r="F19" s="41">
        <v>5000</v>
      </c>
      <c r="G19" s="42" t="s">
        <v>129</v>
      </c>
      <c r="H19" s="43">
        <f>SUM(H2:H18)</f>
        <v>21048</v>
      </c>
    </row>
    <row r="20" spans="1:8" ht="13.5">
      <c r="A20" s="44"/>
      <c r="B20" s="45"/>
      <c r="C20" s="46">
        <f>SUM(C17:C19)</f>
        <v>11350</v>
      </c>
      <c r="D20" s="47"/>
      <c r="E20" s="45"/>
      <c r="F20" s="46">
        <f>SUM(F18:F19)</f>
        <v>16086</v>
      </c>
      <c r="G20" s="10" t="s">
        <v>130</v>
      </c>
      <c r="H20" s="316">
        <f>26261-(C9+E9)-SUM(H2:H18)</f>
        <v>3771.25</v>
      </c>
    </row>
    <row r="21" spans="1:8" ht="12" thickBot="1">
      <c r="A21" s="13"/>
      <c r="B21" s="48" t="s">
        <v>131</v>
      </c>
      <c r="C21" s="49">
        <f>SUM(C20,C14)</f>
        <v>26386</v>
      </c>
      <c r="D21" s="50"/>
      <c r="E21" s="48" t="s">
        <v>131</v>
      </c>
      <c r="F21" s="49">
        <f>SUM(F20,F16)</f>
        <v>26386</v>
      </c>
      <c r="G21" s="51" t="s">
        <v>132</v>
      </c>
      <c r="H21" s="52">
        <f>SUM(H19:H20)</f>
        <v>24819.25</v>
      </c>
    </row>
    <row r="22" spans="1:7" s="56" customFormat="1" ht="22.5">
      <c r="A22" s="827" t="s">
        <v>15</v>
      </c>
      <c r="B22" s="828"/>
      <c r="C22" s="53" t="s">
        <v>133</v>
      </c>
      <c r="D22" s="53" t="s">
        <v>134</v>
      </c>
      <c r="E22" s="53" t="s">
        <v>135</v>
      </c>
      <c r="F22" s="54" t="s">
        <v>136</v>
      </c>
      <c r="G22" s="55"/>
    </row>
    <row r="23" spans="1:7" ht="11.25">
      <c r="A23" s="831" t="s">
        <v>116</v>
      </c>
      <c r="B23" s="832"/>
      <c r="C23" s="57">
        <v>0.02</v>
      </c>
      <c r="D23" s="53" t="s">
        <v>137</v>
      </c>
      <c r="E23" s="53" t="s">
        <v>137</v>
      </c>
      <c r="F23" s="54" t="s">
        <v>137</v>
      </c>
      <c r="G23" s="55"/>
    </row>
    <row r="24" spans="1:7" ht="11.25">
      <c r="A24" s="831" t="s">
        <v>6</v>
      </c>
      <c r="B24" s="832"/>
      <c r="C24" s="58" t="s">
        <v>137</v>
      </c>
      <c r="D24" s="59">
        <v>330</v>
      </c>
      <c r="E24" s="60">
        <v>5</v>
      </c>
      <c r="F24" s="61">
        <v>0.2</v>
      </c>
      <c r="G24" s="55"/>
    </row>
    <row r="25" spans="1:7" ht="11.25">
      <c r="A25" s="829" t="s">
        <v>138</v>
      </c>
      <c r="B25" s="830"/>
      <c r="C25" s="62" t="s">
        <v>139</v>
      </c>
      <c r="D25" s="63">
        <v>0.078</v>
      </c>
      <c r="E25" s="64" t="s">
        <v>140</v>
      </c>
      <c r="F25" s="65">
        <v>0.095</v>
      </c>
      <c r="G25" s="66"/>
    </row>
    <row r="26" spans="1:7" ht="11.25">
      <c r="A26" s="67"/>
      <c r="B26" s="68"/>
      <c r="C26" s="843" t="s">
        <v>141</v>
      </c>
      <c r="D26" s="843"/>
      <c r="E26" s="844"/>
      <c r="F26" s="69">
        <v>1000</v>
      </c>
      <c r="G26" s="66"/>
    </row>
    <row r="27" spans="1:7" ht="11.25">
      <c r="A27" s="13"/>
      <c r="B27" s="50"/>
      <c r="C27" s="843" t="s">
        <v>142</v>
      </c>
      <c r="D27" s="843"/>
      <c r="E27" s="844"/>
      <c r="F27" s="69">
        <f>F28+(C6+C7+C8+E6+E7+E8)</f>
        <v>26261</v>
      </c>
      <c r="G27" s="66"/>
    </row>
    <row r="28" spans="1:6" ht="11.25">
      <c r="A28" s="44"/>
      <c r="B28" s="50"/>
      <c r="C28" s="843" t="s">
        <v>143</v>
      </c>
      <c r="D28" s="843"/>
      <c r="E28" s="844"/>
      <c r="F28" s="69">
        <f>H21</f>
        <v>24819.25</v>
      </c>
    </row>
    <row r="29" spans="1:6" ht="11.25">
      <c r="A29" s="44"/>
      <c r="B29" s="50"/>
      <c r="C29" s="843" t="s">
        <v>144</v>
      </c>
      <c r="D29" s="843"/>
      <c r="E29" s="844"/>
      <c r="F29" s="69">
        <v>60</v>
      </c>
    </row>
    <row r="30" spans="1:6" ht="11.25">
      <c r="A30" s="44"/>
      <c r="B30" s="50"/>
      <c r="C30" s="843" t="s">
        <v>145</v>
      </c>
      <c r="D30" s="843"/>
      <c r="E30" s="844"/>
      <c r="F30" s="70">
        <v>1.5</v>
      </c>
    </row>
    <row r="31" spans="1:6" ht="12" thickBot="1">
      <c r="A31" s="71"/>
      <c r="B31" s="72" t="s">
        <v>146</v>
      </c>
      <c r="C31" s="73">
        <v>4000</v>
      </c>
      <c r="D31" s="74"/>
      <c r="E31" s="75" t="s">
        <v>147</v>
      </c>
      <c r="F31" s="76">
        <v>1.4</v>
      </c>
    </row>
    <row r="32" spans="2:8" ht="12" thickBot="1">
      <c r="B32" s="77"/>
      <c r="C32" s="78"/>
      <c r="F32" s="79"/>
      <c r="G32" s="78"/>
      <c r="H32" s="80"/>
    </row>
    <row r="33" spans="1:8" ht="11.25">
      <c r="A33" s="81" t="s">
        <v>148</v>
      </c>
      <c r="B33" s="83" t="s">
        <v>149</v>
      </c>
      <c r="C33" s="83" t="s">
        <v>150</v>
      </c>
      <c r="D33" s="83" t="s">
        <v>70</v>
      </c>
      <c r="E33" s="848" t="s">
        <v>151</v>
      </c>
      <c r="F33" s="821"/>
      <c r="G33" s="819" t="s">
        <v>152</v>
      </c>
      <c r="H33" s="821"/>
    </row>
    <row r="34" spans="1:8" ht="11.25">
      <c r="A34" s="84" t="s">
        <v>96</v>
      </c>
      <c r="B34" s="85">
        <f>D2</f>
        <v>244</v>
      </c>
      <c r="C34" s="86">
        <f>C2</f>
        <v>4.8</v>
      </c>
      <c r="D34" s="87">
        <f>B34*C34</f>
        <v>1171.2</v>
      </c>
      <c r="E34" s="88">
        <f>D34/$F$29</f>
        <v>19.52</v>
      </c>
      <c r="F34" s="89">
        <f>ROUNDUP(E34,0)</f>
        <v>20</v>
      </c>
      <c r="G34" s="90" t="s">
        <v>153</v>
      </c>
      <c r="H34" s="91">
        <f>C17/F30</f>
        <v>2500</v>
      </c>
    </row>
    <row r="35" spans="1:8" ht="11.25">
      <c r="A35" s="84" t="s">
        <v>98</v>
      </c>
      <c r="B35" s="85">
        <f>D3</f>
        <v>301</v>
      </c>
      <c r="C35" s="86">
        <f>C3</f>
        <v>4.6</v>
      </c>
      <c r="D35" s="87">
        <f>B35*C35</f>
        <v>1384.6</v>
      </c>
      <c r="E35" s="88">
        <f>D35/$F$29</f>
        <v>23.076666666666664</v>
      </c>
      <c r="F35" s="92">
        <f>ROUNDUP(E35,0)</f>
        <v>24</v>
      </c>
      <c r="G35" s="90" t="s">
        <v>154</v>
      </c>
      <c r="H35" s="93">
        <f>(D2*B2)+(D3*B3)+(D4*B4)</f>
        <v>4790.9</v>
      </c>
    </row>
    <row r="36" spans="1:8" ht="12" thickBot="1">
      <c r="A36" s="94" t="s">
        <v>100</v>
      </c>
      <c r="B36" s="95">
        <f>D4</f>
        <v>84</v>
      </c>
      <c r="C36" s="96">
        <f>C4</f>
        <v>4.3</v>
      </c>
      <c r="D36" s="97">
        <f>B36*C36</f>
        <v>361.2</v>
      </c>
      <c r="E36" s="98">
        <f>D36/$F$29</f>
        <v>6.02</v>
      </c>
      <c r="F36" s="99">
        <f>ROUNDUP(E36,0)</f>
        <v>7</v>
      </c>
      <c r="G36" s="90" t="s">
        <v>155</v>
      </c>
      <c r="H36" s="93">
        <f>H35-H34</f>
        <v>2290.8999999999996</v>
      </c>
    </row>
    <row r="37" spans="1:8" ht="11.25">
      <c r="A37" s="819" t="s">
        <v>156</v>
      </c>
      <c r="B37" s="820"/>
      <c r="C37" s="820"/>
      <c r="D37" s="820"/>
      <c r="E37" s="820"/>
      <c r="F37" s="821"/>
      <c r="G37" s="100" t="s">
        <v>157</v>
      </c>
      <c r="H37" s="101">
        <f>C31*F31</f>
        <v>5600</v>
      </c>
    </row>
    <row r="38" spans="1:8" ht="11.25">
      <c r="A38" s="84" t="s">
        <v>96</v>
      </c>
      <c r="B38" s="102" t="s">
        <v>158</v>
      </c>
      <c r="C38" s="103" t="s">
        <v>159</v>
      </c>
      <c r="D38" s="104">
        <v>13.6</v>
      </c>
      <c r="E38" s="105">
        <f>D2/D38</f>
        <v>17.941176470588236</v>
      </c>
      <c r="F38" s="106">
        <f>ROUNDUP(E38,0)</f>
        <v>18</v>
      </c>
      <c r="G38" s="107" t="s">
        <v>160</v>
      </c>
      <c r="H38" s="108">
        <f>H34*F30</f>
        <v>3750</v>
      </c>
    </row>
    <row r="39" spans="1:8" ht="12" thickBot="1">
      <c r="A39" s="84" t="s">
        <v>98</v>
      </c>
      <c r="B39" s="102" t="s">
        <v>158</v>
      </c>
      <c r="C39" s="103" t="s">
        <v>159</v>
      </c>
      <c r="D39" s="104">
        <v>5.8</v>
      </c>
      <c r="E39" s="105">
        <f>D3/D39</f>
        <v>51.896551724137936</v>
      </c>
      <c r="F39" s="106">
        <f>ROUNDUP(E39,0)</f>
        <v>52</v>
      </c>
      <c r="G39" s="107" t="s">
        <v>161</v>
      </c>
      <c r="H39" s="109">
        <f>SUM(H37:H38)</f>
        <v>9350</v>
      </c>
    </row>
    <row r="40" spans="1:8" ht="12" thickTop="1">
      <c r="A40" s="84" t="s">
        <v>100</v>
      </c>
      <c r="B40" s="102" t="s">
        <v>158</v>
      </c>
      <c r="C40" s="103" t="s">
        <v>159</v>
      </c>
      <c r="D40" s="104">
        <v>4.2</v>
      </c>
      <c r="E40" s="105">
        <f>D4/D40</f>
        <v>20</v>
      </c>
      <c r="F40" s="106">
        <f>ROUNDUP(E40,0)</f>
        <v>20</v>
      </c>
      <c r="G40" s="110" t="s">
        <v>162</v>
      </c>
      <c r="H40" s="108">
        <f>H34*F30</f>
        <v>3750</v>
      </c>
    </row>
    <row r="41" spans="1:8" ht="12" thickBot="1">
      <c r="A41" s="111" t="s">
        <v>163</v>
      </c>
      <c r="B41" s="112"/>
      <c r="C41" s="113">
        <f>F41*D24</f>
        <v>9240</v>
      </c>
      <c r="D41" s="114" t="s">
        <v>164</v>
      </c>
      <c r="E41" s="115">
        <f>SUM(E38:E40)</f>
        <v>89.83772819472617</v>
      </c>
      <c r="F41" s="116">
        <f>ROUNDUP(E41-A49,0)</f>
        <v>28</v>
      </c>
      <c r="G41" s="110" t="s">
        <v>165</v>
      </c>
      <c r="H41" s="108">
        <f>H36*F31</f>
        <v>3207.2599999999993</v>
      </c>
    </row>
    <row r="42" spans="1:8" ht="12" thickBot="1">
      <c r="A42" s="819" t="s">
        <v>166</v>
      </c>
      <c r="B42" s="820"/>
      <c r="C42" s="820"/>
      <c r="D42" s="820"/>
      <c r="E42" s="820"/>
      <c r="F42" s="821"/>
      <c r="G42" s="110" t="s">
        <v>167</v>
      </c>
      <c r="H42" s="109">
        <f>SUM(H40:H41)</f>
        <v>6957.259999999999</v>
      </c>
    </row>
    <row r="43" spans="1:8" ht="12.75" thickBot="1" thickTop="1">
      <c r="A43" s="117" t="s">
        <v>168</v>
      </c>
      <c r="B43" s="118" t="s">
        <v>169</v>
      </c>
      <c r="C43" s="119" t="s">
        <v>170</v>
      </c>
      <c r="D43" s="119" t="s">
        <v>64</v>
      </c>
      <c r="E43" s="119" t="s">
        <v>171</v>
      </c>
      <c r="F43" s="120" t="s">
        <v>172</v>
      </c>
      <c r="G43" s="121" t="s">
        <v>173</v>
      </c>
      <c r="H43" s="122">
        <f>H39-H40-H41</f>
        <v>2392.7400000000007</v>
      </c>
    </row>
    <row r="44" spans="1:7" ht="11.25">
      <c r="A44" s="123">
        <v>6</v>
      </c>
      <c r="B44" s="124" t="s">
        <v>174</v>
      </c>
      <c r="C44" s="125">
        <f>A44*F44</f>
        <v>1500</v>
      </c>
      <c r="D44" s="126">
        <f>C44*$F$24</f>
        <v>300</v>
      </c>
      <c r="E44" s="87">
        <f>C44-(5*D44)</f>
        <v>0</v>
      </c>
      <c r="F44" s="125">
        <v>250</v>
      </c>
      <c r="G44" s="841" t="s">
        <v>175</v>
      </c>
    </row>
    <row r="45" spans="1:8" ht="12" thickBot="1">
      <c r="A45" s="123">
        <v>13</v>
      </c>
      <c r="B45" s="124" t="s">
        <v>176</v>
      </c>
      <c r="C45" s="125">
        <f>A45*F45</f>
        <v>3510</v>
      </c>
      <c r="D45" s="126">
        <f>C45*$F$24</f>
        <v>702</v>
      </c>
      <c r="E45" s="87">
        <f>C45-(4*D45)</f>
        <v>702</v>
      </c>
      <c r="F45" s="125">
        <v>270</v>
      </c>
      <c r="G45" s="842"/>
      <c r="H45" s="127">
        <f>H42/H35</f>
        <v>1.452182262205431</v>
      </c>
    </row>
    <row r="46" spans="1:6" ht="12" thickTop="1">
      <c r="A46" s="123">
        <v>18</v>
      </c>
      <c r="B46" s="124" t="s">
        <v>177</v>
      </c>
      <c r="C46" s="125">
        <f>A46*F46</f>
        <v>5220</v>
      </c>
      <c r="D46" s="126">
        <f>C46*$F$24</f>
        <v>1044</v>
      </c>
      <c r="E46" s="87">
        <f>C46-(3*D46)</f>
        <v>2088</v>
      </c>
      <c r="F46" s="125">
        <v>290</v>
      </c>
    </row>
    <row r="47" spans="1:6" ht="12" thickBot="1">
      <c r="A47" s="128">
        <v>25</v>
      </c>
      <c r="B47" s="129" t="s">
        <v>178</v>
      </c>
      <c r="C47" s="125">
        <f>A47*F47</f>
        <v>7750</v>
      </c>
      <c r="D47" s="130">
        <f>C47*$F$24</f>
        <v>1550</v>
      </c>
      <c r="E47" s="131">
        <f>C47-(2*D47)</f>
        <v>4650</v>
      </c>
      <c r="F47" s="125">
        <v>310</v>
      </c>
    </row>
    <row r="48" spans="1:6" ht="12" customHeight="1" thickBot="1">
      <c r="A48" s="128">
        <f>F41</f>
        <v>28</v>
      </c>
      <c r="B48" s="132" t="s">
        <v>179</v>
      </c>
      <c r="C48" s="133">
        <f>C41</f>
        <v>9240</v>
      </c>
      <c r="D48" s="130">
        <f>C48*$F$24</f>
        <v>1848</v>
      </c>
      <c r="E48" s="87">
        <f>C48-(1*D48)</f>
        <v>7392</v>
      </c>
      <c r="F48" s="134"/>
    </row>
    <row r="49" spans="1:8" ht="12" thickBot="1">
      <c r="A49" s="135">
        <f>SUM(A44:A47)</f>
        <v>62</v>
      </c>
      <c r="B49" s="136"/>
      <c r="C49" s="136"/>
      <c r="D49" s="97">
        <f>SUM(D44:D48)</f>
        <v>5444</v>
      </c>
      <c r="E49" s="97">
        <f>SUM(E44:E48)</f>
        <v>14832</v>
      </c>
      <c r="F49" s="137" t="s">
        <v>180</v>
      </c>
      <c r="H49" s="138"/>
    </row>
    <row r="50" spans="1:4" ht="12" thickBot="1">
      <c r="A50" s="822" t="s">
        <v>181</v>
      </c>
      <c r="B50" s="823"/>
      <c r="C50" s="823"/>
      <c r="D50" s="824"/>
    </row>
    <row r="51" spans="1:7" ht="11.25">
      <c r="A51" s="84" t="s">
        <v>96</v>
      </c>
      <c r="B51" s="317">
        <f>D2</f>
        <v>244</v>
      </c>
      <c r="C51" s="139">
        <f>F2</f>
        <v>29524</v>
      </c>
      <c r="D51" s="140"/>
      <c r="E51" s="851" t="s">
        <v>182</v>
      </c>
      <c r="F51" s="852"/>
      <c r="G51" s="853"/>
    </row>
    <row r="52" spans="1:7" ht="11.25">
      <c r="A52" s="84" t="s">
        <v>98</v>
      </c>
      <c r="B52" s="317">
        <f>D3</f>
        <v>301</v>
      </c>
      <c r="C52" s="139">
        <f>F3</f>
        <v>9030</v>
      </c>
      <c r="D52" s="140"/>
      <c r="E52" s="141" t="s">
        <v>43</v>
      </c>
      <c r="F52" s="142">
        <f>C19</f>
        <v>3500</v>
      </c>
      <c r="G52" s="143"/>
    </row>
    <row r="53" spans="1:7" ht="11.25">
      <c r="A53" s="84" t="s">
        <v>100</v>
      </c>
      <c r="B53" s="317">
        <f>D4</f>
        <v>84</v>
      </c>
      <c r="C53" s="139">
        <f>F4</f>
        <v>6804</v>
      </c>
      <c r="D53" s="140"/>
      <c r="E53" s="144" t="s">
        <v>45</v>
      </c>
      <c r="F53" s="145">
        <f>C18</f>
        <v>4100</v>
      </c>
      <c r="G53" s="146"/>
    </row>
    <row r="54" spans="1:7" ht="12" thickBot="1">
      <c r="A54" s="838" t="s">
        <v>10</v>
      </c>
      <c r="B54" s="839"/>
      <c r="C54" s="318"/>
      <c r="D54" s="147">
        <f>C51+C52+C53</f>
        <v>45358</v>
      </c>
      <c r="E54" s="144" t="s">
        <v>77</v>
      </c>
      <c r="F54" s="148">
        <f>F26</f>
        <v>1000</v>
      </c>
      <c r="G54" s="149"/>
    </row>
    <row r="55" spans="1:7" ht="12" thickTop="1">
      <c r="A55" s="838" t="s">
        <v>11</v>
      </c>
      <c r="B55" s="839"/>
      <c r="C55" s="150">
        <f>H42</f>
        <v>6957.259999999999</v>
      </c>
      <c r="D55" s="151"/>
      <c r="E55" s="144" t="s">
        <v>46</v>
      </c>
      <c r="F55" s="148">
        <f>D54*0.95</f>
        <v>43090.1</v>
      </c>
      <c r="G55" s="149">
        <f>D54*0.05</f>
        <v>2267.9</v>
      </c>
    </row>
    <row r="56" spans="1:7" ht="12" thickBot="1">
      <c r="A56" s="838" t="s">
        <v>12</v>
      </c>
      <c r="B56" s="839"/>
      <c r="C56" s="152"/>
      <c r="D56" s="153">
        <f>D54-C55</f>
        <v>38400.74</v>
      </c>
      <c r="E56" s="154" t="s">
        <v>47</v>
      </c>
      <c r="F56" s="155"/>
      <c r="G56" s="156">
        <f>F53+F55+F54</f>
        <v>48190.1</v>
      </c>
    </row>
    <row r="57" spans="1:7" ht="12" thickTop="1">
      <c r="A57" s="838" t="s">
        <v>13</v>
      </c>
      <c r="B57" s="839"/>
      <c r="C57" s="157">
        <f>D34+D35+D36</f>
        <v>2917</v>
      </c>
      <c r="D57" s="151"/>
      <c r="E57" s="144" t="s">
        <v>48</v>
      </c>
      <c r="F57" s="148">
        <f>F14</f>
        <v>1800</v>
      </c>
      <c r="G57" s="158"/>
    </row>
    <row r="58" spans="1:7" ht="11.25">
      <c r="A58" s="838" t="s">
        <v>2</v>
      </c>
      <c r="B58" s="839"/>
      <c r="C58" s="87">
        <f>F27</f>
        <v>26261</v>
      </c>
      <c r="D58" s="151"/>
      <c r="E58" s="144" t="s">
        <v>50</v>
      </c>
      <c r="F58" s="148">
        <f>H37*0.9</f>
        <v>5040</v>
      </c>
      <c r="G58" s="159">
        <f>H37*0.1</f>
        <v>560</v>
      </c>
    </row>
    <row r="59" spans="1:7" ht="11.25">
      <c r="A59" s="838" t="s">
        <v>29</v>
      </c>
      <c r="B59" s="839"/>
      <c r="C59" s="87">
        <f>(F12+F26)*D25</f>
        <v>468</v>
      </c>
      <c r="D59" s="151"/>
      <c r="E59" s="144" t="s">
        <v>52</v>
      </c>
      <c r="F59" s="148">
        <f>C41</f>
        <v>9240</v>
      </c>
      <c r="G59" s="158"/>
    </row>
    <row r="60" spans="1:7" ht="11.25">
      <c r="A60" s="838" t="s">
        <v>30</v>
      </c>
      <c r="B60" s="839"/>
      <c r="C60" s="87">
        <f>F13*F25</f>
        <v>285</v>
      </c>
      <c r="D60" s="151"/>
      <c r="E60" s="144" t="s">
        <v>18</v>
      </c>
      <c r="F60" s="148">
        <f>C57</f>
        <v>2917</v>
      </c>
      <c r="G60" s="158"/>
    </row>
    <row r="61" spans="1:7" ht="12" thickBot="1">
      <c r="A61" s="838" t="s">
        <v>14</v>
      </c>
      <c r="B61" s="839"/>
      <c r="C61" s="152"/>
      <c r="D61" s="153">
        <f>D56-(C57+C58+C59+C60)</f>
        <v>8469.739999999998</v>
      </c>
      <c r="E61" s="144" t="s">
        <v>55</v>
      </c>
      <c r="F61" s="148">
        <f>C58</f>
        <v>26261</v>
      </c>
      <c r="G61" s="158"/>
    </row>
    <row r="62" spans="1:7" ht="12" thickTop="1">
      <c r="A62" s="838" t="s">
        <v>32</v>
      </c>
      <c r="B62" s="839"/>
      <c r="C62" s="157">
        <f>D49</f>
        <v>5444</v>
      </c>
      <c r="D62" s="151"/>
      <c r="E62" s="144" t="s">
        <v>0</v>
      </c>
      <c r="F62" s="148">
        <f>C59+C60</f>
        <v>753</v>
      </c>
      <c r="G62" s="158"/>
    </row>
    <row r="63" spans="1:7" ht="11.25">
      <c r="A63" s="838" t="s">
        <v>34</v>
      </c>
      <c r="B63" s="839"/>
      <c r="C63" s="160">
        <f>C12*C23</f>
        <v>80</v>
      </c>
      <c r="D63" s="151"/>
      <c r="E63" s="144" t="s">
        <v>38</v>
      </c>
      <c r="F63" s="161">
        <f>D66</f>
        <v>1237.210800000002</v>
      </c>
      <c r="G63" s="158"/>
    </row>
    <row r="64" spans="1:7" ht="12" thickBot="1">
      <c r="A64" s="838" t="s">
        <v>16</v>
      </c>
      <c r="B64" s="839"/>
      <c r="C64" s="162"/>
      <c r="D64" s="153">
        <f>SUM(C55:C63)</f>
        <v>42412.259999999995</v>
      </c>
      <c r="E64" s="144"/>
      <c r="F64" s="161"/>
      <c r="G64" s="158"/>
    </row>
    <row r="65" spans="1:7" ht="12.75" thickBot="1" thickTop="1">
      <c r="A65" s="838" t="s">
        <v>17</v>
      </c>
      <c r="B65" s="839"/>
      <c r="C65" s="163"/>
      <c r="D65" s="164">
        <f>D54-D64</f>
        <v>2945.7400000000052</v>
      </c>
      <c r="E65" s="154" t="s">
        <v>59</v>
      </c>
      <c r="F65" s="155"/>
      <c r="G65" s="156">
        <f>SUM(F57:F64)</f>
        <v>47248.2108</v>
      </c>
    </row>
    <row r="66" spans="1:7" ht="12.75" thickBot="1" thickTop="1">
      <c r="A66" s="838" t="s">
        <v>38</v>
      </c>
      <c r="B66" s="839"/>
      <c r="C66" s="163"/>
      <c r="D66" s="165">
        <f>IF(D65&lt;0,0,D65*F6)</f>
        <v>1237.210800000002</v>
      </c>
      <c r="E66" s="166" t="s">
        <v>183</v>
      </c>
      <c r="F66" s="167"/>
      <c r="G66" s="168">
        <f>G56-G65</f>
        <v>941.8891999999978</v>
      </c>
    </row>
    <row r="67" spans="1:7" ht="12.75" thickBot="1" thickTop="1">
      <c r="A67" s="854" t="s">
        <v>184</v>
      </c>
      <c r="B67" s="855"/>
      <c r="C67" s="169"/>
      <c r="D67" s="170">
        <f>D65-D66</f>
        <v>1708.5292000000031</v>
      </c>
      <c r="E67" s="171" t="s">
        <v>185</v>
      </c>
      <c r="F67" s="172"/>
      <c r="G67" s="173">
        <f>F52+G66</f>
        <v>4441.889199999998</v>
      </c>
    </row>
    <row r="68" spans="1:6" ht="11.25">
      <c r="A68" s="835" t="s">
        <v>3</v>
      </c>
      <c r="B68" s="836"/>
      <c r="C68" s="837"/>
      <c r="D68" s="175" t="s">
        <v>4</v>
      </c>
      <c r="E68" s="174"/>
      <c r="F68" s="176"/>
    </row>
    <row r="69" spans="1:6" ht="11.25">
      <c r="A69" s="808" t="s">
        <v>113</v>
      </c>
      <c r="B69" s="809"/>
      <c r="C69" s="810"/>
      <c r="D69" s="36" t="s">
        <v>114</v>
      </c>
      <c r="E69" s="35"/>
      <c r="F69" s="177"/>
    </row>
    <row r="70" spans="1:6" ht="11.25">
      <c r="A70" s="808" t="s">
        <v>116</v>
      </c>
      <c r="B70" s="809"/>
      <c r="C70" s="33">
        <f>(1-C23)*C12</f>
        <v>3920</v>
      </c>
      <c r="D70" s="36" t="s">
        <v>1</v>
      </c>
      <c r="E70" s="35"/>
      <c r="F70" s="178">
        <f>F12+F26</f>
        <v>6000</v>
      </c>
    </row>
    <row r="71" spans="1:6" ht="11.25">
      <c r="A71" s="808" t="s">
        <v>6</v>
      </c>
      <c r="B71" s="809"/>
      <c r="C71" s="37">
        <f>E49</f>
        <v>14832</v>
      </c>
      <c r="D71" s="36" t="s">
        <v>118</v>
      </c>
      <c r="E71" s="35"/>
      <c r="F71" s="178">
        <f>F13</f>
        <v>3000</v>
      </c>
    </row>
    <row r="72" spans="1:6" ht="13.5">
      <c r="A72" s="38"/>
      <c r="B72" s="39"/>
      <c r="C72" s="40">
        <f>SUM(C70:C71)</f>
        <v>18752</v>
      </c>
      <c r="D72" s="36" t="s">
        <v>120</v>
      </c>
      <c r="E72" s="35"/>
      <c r="F72" s="178">
        <f>G58</f>
        <v>560</v>
      </c>
    </row>
    <row r="73" spans="1:6" ht="13.5">
      <c r="A73" s="38"/>
      <c r="B73" s="39"/>
      <c r="C73" s="40"/>
      <c r="D73" s="36" t="s">
        <v>76</v>
      </c>
      <c r="E73" s="35"/>
      <c r="F73" s="179">
        <f>F15</f>
        <v>500</v>
      </c>
    </row>
    <row r="74" spans="1:6" ht="13.5">
      <c r="A74" s="808" t="s">
        <v>123</v>
      </c>
      <c r="B74" s="809"/>
      <c r="C74" s="810"/>
      <c r="D74" s="36"/>
      <c r="E74" s="35"/>
      <c r="F74" s="180">
        <f>SUM(F70:F73)</f>
        <v>10060</v>
      </c>
    </row>
    <row r="75" spans="1:6" ht="11.25">
      <c r="A75" s="808" t="s">
        <v>8</v>
      </c>
      <c r="B75" s="809"/>
      <c r="C75" s="33">
        <f>H43</f>
        <v>2392.7400000000007</v>
      </c>
      <c r="D75" s="36" t="s">
        <v>125</v>
      </c>
      <c r="E75" s="35"/>
      <c r="F75" s="177"/>
    </row>
    <row r="76" spans="1:6" ht="11.25">
      <c r="A76" s="808" t="s">
        <v>9</v>
      </c>
      <c r="B76" s="809"/>
      <c r="C76" s="33">
        <f>G55</f>
        <v>2267.9</v>
      </c>
      <c r="D76" s="36" t="s">
        <v>5</v>
      </c>
      <c r="E76" s="35"/>
      <c r="F76" s="178">
        <f>F18</f>
        <v>11086</v>
      </c>
    </row>
    <row r="77" spans="1:6" ht="11.25">
      <c r="A77" s="808" t="s">
        <v>128</v>
      </c>
      <c r="B77" s="809"/>
      <c r="C77" s="181">
        <f>G67</f>
        <v>4441.889199999998</v>
      </c>
      <c r="D77" s="36" t="s">
        <v>7</v>
      </c>
      <c r="E77" s="35"/>
      <c r="F77" s="178">
        <f>F19</f>
        <v>5000</v>
      </c>
    </row>
    <row r="78" spans="1:6" ht="11.25">
      <c r="A78" s="34"/>
      <c r="B78" s="35"/>
      <c r="C78" s="37"/>
      <c r="D78" s="35" t="s">
        <v>186</v>
      </c>
      <c r="E78" s="35"/>
      <c r="F78" s="179">
        <f>D67</f>
        <v>1708.5292000000031</v>
      </c>
    </row>
    <row r="79" spans="1:6" ht="13.5">
      <c r="A79" s="44"/>
      <c r="B79" s="45"/>
      <c r="C79" s="46">
        <f>SUM(C75:C77)</f>
        <v>9102.529199999999</v>
      </c>
      <c r="D79" s="47"/>
      <c r="E79" s="45"/>
      <c r="F79" s="182">
        <f>SUM(F76:F78)</f>
        <v>17794.529200000004</v>
      </c>
    </row>
    <row r="80" spans="1:6" ht="12" thickBot="1">
      <c r="A80" s="71"/>
      <c r="B80" s="72" t="s">
        <v>131</v>
      </c>
      <c r="C80" s="183">
        <f>SUM(C79,C72)</f>
        <v>27854.529199999997</v>
      </c>
      <c r="D80" s="184"/>
      <c r="E80" s="72" t="s">
        <v>131</v>
      </c>
      <c r="F80" s="185">
        <f>SUM(F79,F74)</f>
        <v>27854.529200000004</v>
      </c>
    </row>
    <row r="81" spans="1:7" ht="11.25">
      <c r="A81" s="845" t="s">
        <v>19</v>
      </c>
      <c r="B81" s="846"/>
      <c r="C81" s="186" t="s">
        <v>20</v>
      </c>
      <c r="D81" s="187" t="s">
        <v>21</v>
      </c>
      <c r="E81" s="187" t="s">
        <v>22</v>
      </c>
      <c r="F81" s="187" t="s">
        <v>23</v>
      </c>
      <c r="G81" s="188" t="s">
        <v>24</v>
      </c>
    </row>
    <row r="82" spans="1:7" ht="11.25">
      <c r="A82" s="849" t="s">
        <v>25</v>
      </c>
      <c r="B82" s="850"/>
      <c r="C82" s="191">
        <f aca="true" t="shared" si="0" ref="C82:C87">SUM(D82:G82)</f>
        <v>111</v>
      </c>
      <c r="D82" s="192">
        <v>1</v>
      </c>
      <c r="E82" s="192">
        <v>80</v>
      </c>
      <c r="F82" s="192">
        <v>10</v>
      </c>
      <c r="G82" s="193">
        <v>20</v>
      </c>
    </row>
    <row r="83" spans="1:7" ht="11.25">
      <c r="A83" s="849" t="s">
        <v>26</v>
      </c>
      <c r="B83" s="850"/>
      <c r="C83" s="191">
        <f t="shared" si="0"/>
        <v>5033</v>
      </c>
      <c r="D83" s="192">
        <v>38</v>
      </c>
      <c r="E83" s="192">
        <v>4995</v>
      </c>
      <c r="F83" s="192">
        <v>0</v>
      </c>
      <c r="G83" s="193">
        <v>0</v>
      </c>
    </row>
    <row r="84" spans="1:7" ht="11.25">
      <c r="A84" s="849" t="s">
        <v>27</v>
      </c>
      <c r="B84" s="850"/>
      <c r="C84" s="191">
        <f t="shared" si="0"/>
        <v>7250</v>
      </c>
      <c r="D84" s="192">
        <v>572</v>
      </c>
      <c r="E84" s="192">
        <v>2478</v>
      </c>
      <c r="F84" s="192">
        <v>2510</v>
      </c>
      <c r="G84" s="193">
        <v>1690</v>
      </c>
    </row>
    <row r="85" spans="1:7" ht="11.25">
      <c r="A85" s="849" t="s">
        <v>28</v>
      </c>
      <c r="B85" s="850"/>
      <c r="C85" s="191">
        <f t="shared" si="0"/>
        <v>11</v>
      </c>
      <c r="D85" s="192">
        <v>2</v>
      </c>
      <c r="E85" s="192">
        <v>5</v>
      </c>
      <c r="F85" s="192">
        <v>2</v>
      </c>
      <c r="G85" s="193">
        <v>2</v>
      </c>
    </row>
    <row r="86" spans="1:7" ht="11.25">
      <c r="A86" s="189"/>
      <c r="B86" s="190" t="s">
        <v>83</v>
      </c>
      <c r="C86" s="191">
        <f t="shared" si="0"/>
        <v>13500</v>
      </c>
      <c r="D86" s="192">
        <v>575</v>
      </c>
      <c r="E86" s="192">
        <v>4176</v>
      </c>
      <c r="F86" s="192">
        <v>4824</v>
      </c>
      <c r="G86" s="193">
        <v>3925</v>
      </c>
    </row>
    <row r="87" spans="1:7" ht="11.25">
      <c r="A87" s="840" t="s">
        <v>15</v>
      </c>
      <c r="B87" s="847"/>
      <c r="C87" s="194">
        <f t="shared" si="0"/>
        <v>5524</v>
      </c>
      <c r="D87" s="195">
        <v>312</v>
      </c>
      <c r="E87" s="195">
        <v>4900</v>
      </c>
      <c r="F87" s="195">
        <v>222</v>
      </c>
      <c r="G87" s="196">
        <v>90</v>
      </c>
    </row>
    <row r="88" spans="1:7" ht="12" thickBot="1">
      <c r="A88" s="825" t="s">
        <v>20</v>
      </c>
      <c r="B88" s="826"/>
      <c r="C88" s="425">
        <f>SUM(C82:C87)</f>
        <v>31429</v>
      </c>
      <c r="D88" s="426">
        <f>SUM(D82:D87)</f>
        <v>1500</v>
      </c>
      <c r="E88" s="426">
        <f>SUM(E82:E87)</f>
        <v>16634</v>
      </c>
      <c r="F88" s="426">
        <f>SUM(F82:F87)</f>
        <v>7568</v>
      </c>
      <c r="G88" s="427">
        <f>SUM(G82:G87)</f>
        <v>5727</v>
      </c>
    </row>
    <row r="89" spans="1:6" ht="12" thickBot="1">
      <c r="A89" s="200"/>
      <c r="B89" s="201" t="s">
        <v>31</v>
      </c>
      <c r="C89" s="202">
        <f>C55</f>
        <v>6957.259999999999</v>
      </c>
      <c r="D89" s="872" t="s">
        <v>310</v>
      </c>
      <c r="E89" s="873"/>
      <c r="F89" s="407"/>
    </row>
    <row r="90" spans="1:8" ht="12.75" customHeight="1">
      <c r="A90" s="200"/>
      <c r="B90" s="201" t="s">
        <v>33</v>
      </c>
      <c r="C90" s="202">
        <f>D88</f>
        <v>1500</v>
      </c>
      <c r="D90" s="221" t="s">
        <v>49</v>
      </c>
      <c r="E90" s="402">
        <f>D54</f>
        <v>45358</v>
      </c>
      <c r="G90" s="811" t="s">
        <v>61</v>
      </c>
      <c r="H90" s="813"/>
    </row>
    <row r="91" spans="1:8" ht="11.25">
      <c r="A91" s="200"/>
      <c r="B91" s="201" t="s">
        <v>35</v>
      </c>
      <c r="C91" s="203">
        <f>C89+C90</f>
        <v>8457.259999999998</v>
      </c>
      <c r="D91" s="221" t="s">
        <v>51</v>
      </c>
      <c r="E91" s="402">
        <f>C99</f>
        <v>28008.26</v>
      </c>
      <c r="G91" s="100" t="s">
        <v>209</v>
      </c>
      <c r="H91" s="232">
        <f>C57</f>
        <v>2917</v>
      </c>
    </row>
    <row r="92" spans="1:8" ht="11.25">
      <c r="A92" s="200"/>
      <c r="B92" s="201" t="s">
        <v>36</v>
      </c>
      <c r="C92" s="202">
        <f>C57</f>
        <v>2917</v>
      </c>
      <c r="D92" s="221" t="s">
        <v>53</v>
      </c>
      <c r="E92" s="197">
        <f>E90-E91</f>
        <v>17349.74</v>
      </c>
      <c r="G92" s="107" t="s">
        <v>210</v>
      </c>
      <c r="H92" s="235">
        <f>C83</f>
        <v>5033</v>
      </c>
    </row>
    <row r="93" spans="1:8" ht="11.25">
      <c r="A93" s="200"/>
      <c r="B93" s="201" t="s">
        <v>37</v>
      </c>
      <c r="C93" s="202">
        <f>E88</f>
        <v>16634</v>
      </c>
      <c r="D93" s="221" t="s">
        <v>54</v>
      </c>
      <c r="E93" s="402">
        <f>G88</f>
        <v>5727</v>
      </c>
      <c r="G93" s="107" t="s">
        <v>211</v>
      </c>
      <c r="H93" s="235">
        <f>C84</f>
        <v>7250</v>
      </c>
    </row>
    <row r="94" spans="1:8" ht="11.25">
      <c r="A94" s="200"/>
      <c r="B94" s="201" t="s">
        <v>39</v>
      </c>
      <c r="C94" s="203">
        <f>C92+C93</f>
        <v>19551</v>
      </c>
      <c r="D94" s="221" t="s">
        <v>56</v>
      </c>
      <c r="E94" s="402">
        <f>F88</f>
        <v>7568</v>
      </c>
      <c r="G94" s="107" t="s">
        <v>212</v>
      </c>
      <c r="H94" s="235">
        <f>C85</f>
        <v>11</v>
      </c>
    </row>
    <row r="95" spans="1:8" ht="12" thickBot="1">
      <c r="A95" s="200"/>
      <c r="B95" s="201" t="s">
        <v>40</v>
      </c>
      <c r="C95" s="204">
        <f>C91+C94</f>
        <v>28008.26</v>
      </c>
      <c r="D95" s="221" t="s">
        <v>57</v>
      </c>
      <c r="E95" s="403">
        <v>0</v>
      </c>
      <c r="G95" s="107" t="s">
        <v>214</v>
      </c>
      <c r="H95" s="235">
        <f>E98</f>
        <v>1237.2108000000005</v>
      </c>
    </row>
    <row r="96" spans="1:8" ht="12" thickTop="1">
      <c r="A96" s="200"/>
      <c r="B96" s="201" t="s">
        <v>41</v>
      </c>
      <c r="C96" s="202">
        <v>0</v>
      </c>
      <c r="D96" s="404" t="s">
        <v>58</v>
      </c>
      <c r="E96" s="405">
        <v>1109</v>
      </c>
      <c r="G96" s="107" t="s">
        <v>202</v>
      </c>
      <c r="H96" s="235">
        <f>B112</f>
        <v>753</v>
      </c>
    </row>
    <row r="97" spans="1:8" ht="11.25">
      <c r="A97" s="200"/>
      <c r="B97" s="201" t="s">
        <v>42</v>
      </c>
      <c r="C97" s="202">
        <v>0</v>
      </c>
      <c r="D97" s="221" t="s">
        <v>187</v>
      </c>
      <c r="E97" s="402">
        <f>E92-E93-E94+E95-E96</f>
        <v>2945.7400000000016</v>
      </c>
      <c r="G97" s="240" t="s">
        <v>215</v>
      </c>
      <c r="H97" s="241">
        <f>E99</f>
        <v>1708.529200000001</v>
      </c>
    </row>
    <row r="98" spans="1:8" ht="12" thickBot="1">
      <c r="A98" s="200"/>
      <c r="B98" s="201" t="s">
        <v>44</v>
      </c>
      <c r="C98" s="203">
        <f>C96-C97</f>
        <v>0</v>
      </c>
      <c r="D98" s="221" t="s">
        <v>38</v>
      </c>
      <c r="E98" s="197">
        <f>E97*F6</f>
        <v>1237.2108000000005</v>
      </c>
      <c r="G98" s="121"/>
      <c r="H98" s="242">
        <f>SUM(H91:H97)</f>
        <v>18909.74</v>
      </c>
    </row>
    <row r="99" spans="1:5" ht="12" thickBot="1">
      <c r="A99" s="825" t="s">
        <v>188</v>
      </c>
      <c r="B99" s="826"/>
      <c r="C99" s="205">
        <f>C95+C98</f>
        <v>28008.26</v>
      </c>
      <c r="D99" s="223" t="s">
        <v>189</v>
      </c>
      <c r="E99" s="406">
        <f>E97-E98</f>
        <v>1708.529200000001</v>
      </c>
    </row>
    <row r="100" spans="1:6" ht="13.5" customHeight="1">
      <c r="A100" s="858" t="s">
        <v>190</v>
      </c>
      <c r="B100" s="859"/>
      <c r="C100" s="859"/>
      <c r="D100" s="859"/>
      <c r="E100" s="859"/>
      <c r="F100" s="874"/>
    </row>
    <row r="101" spans="1:6" ht="12" thickBot="1">
      <c r="A101" s="408"/>
      <c r="B101" s="212" t="s">
        <v>191</v>
      </c>
      <c r="C101" s="212" t="s">
        <v>192</v>
      </c>
      <c r="D101" s="212" t="s">
        <v>60</v>
      </c>
      <c r="E101" s="212" t="s">
        <v>193</v>
      </c>
      <c r="F101" s="366"/>
    </row>
    <row r="102" spans="1:8" ht="11.25">
      <c r="A102" s="207" t="str">
        <f>A2</f>
        <v>Art.A</v>
      </c>
      <c r="B102" s="104">
        <f aca="true" t="shared" si="1" ref="B102:C104">D2</f>
        <v>244</v>
      </c>
      <c r="C102" s="208">
        <f t="shared" si="1"/>
        <v>121</v>
      </c>
      <c r="D102" s="157">
        <f>C102*B102</f>
        <v>29524</v>
      </c>
      <c r="E102" s="208">
        <f>C2</f>
        <v>4.8</v>
      </c>
      <c r="F102" s="811" t="s">
        <v>205</v>
      </c>
      <c r="G102" s="812"/>
      <c r="H102" s="813"/>
    </row>
    <row r="103" spans="1:8" ht="11.25">
      <c r="A103" s="207" t="str">
        <f>A3</f>
        <v>Art.B</v>
      </c>
      <c r="B103" s="104">
        <f t="shared" si="1"/>
        <v>301</v>
      </c>
      <c r="C103" s="208">
        <f t="shared" si="1"/>
        <v>30</v>
      </c>
      <c r="D103" s="157">
        <f>C103*B103</f>
        <v>9030</v>
      </c>
      <c r="E103" s="208">
        <f>C3</f>
        <v>4.6</v>
      </c>
      <c r="F103" s="225" t="s">
        <v>206</v>
      </c>
      <c r="G103" s="124" t="s">
        <v>207</v>
      </c>
      <c r="H103" s="226" t="s">
        <v>208</v>
      </c>
    </row>
    <row r="104" spans="1:8" ht="12" thickBot="1">
      <c r="A104" s="209" t="str">
        <f>A4</f>
        <v>Art.C</v>
      </c>
      <c r="B104" s="104">
        <f t="shared" si="1"/>
        <v>84</v>
      </c>
      <c r="C104" s="208">
        <f t="shared" si="1"/>
        <v>81</v>
      </c>
      <c r="D104" s="157">
        <f>C104*B104</f>
        <v>6804</v>
      </c>
      <c r="E104" s="208">
        <f>C4</f>
        <v>4.3</v>
      </c>
      <c r="F104" s="227">
        <v>0.45</v>
      </c>
      <c r="G104" s="228">
        <v>0.2</v>
      </c>
      <c r="H104" s="229">
        <v>0.35</v>
      </c>
    </row>
    <row r="105" spans="1:6" ht="12" thickBot="1">
      <c r="A105" s="210"/>
      <c r="B105" s="136"/>
      <c r="C105" s="211" t="s">
        <v>194</v>
      </c>
      <c r="D105" s="131">
        <f>SUM(D102:D104)</f>
        <v>45358</v>
      </c>
      <c r="E105" s="136"/>
      <c r="F105" s="206"/>
    </row>
    <row r="106" spans="1:6" ht="11.25">
      <c r="A106" s="207"/>
      <c r="B106" s="212" t="s">
        <v>195</v>
      </c>
      <c r="C106" s="212" t="s">
        <v>196</v>
      </c>
      <c r="D106" s="212" t="s">
        <v>197</v>
      </c>
      <c r="E106" s="212" t="s">
        <v>198</v>
      </c>
      <c r="F106" s="319" t="s">
        <v>199</v>
      </c>
    </row>
    <row r="107" spans="1:6" ht="11.25">
      <c r="A107" s="207" t="str">
        <f>A102</f>
        <v>Art.A</v>
      </c>
      <c r="B107" s="213">
        <f>B2</f>
        <v>4.1</v>
      </c>
      <c r="C107" s="214">
        <f>$H$45</f>
        <v>1.452182262205431</v>
      </c>
      <c r="D107" s="215">
        <f>B107*C107</f>
        <v>5.953947275042267</v>
      </c>
      <c r="E107" s="215">
        <f>E102+D107+B6+D6</f>
        <v>12.263947275042266</v>
      </c>
      <c r="F107" s="216">
        <f>E107*B102</f>
        <v>2992.403135110313</v>
      </c>
    </row>
    <row r="108" spans="1:6" ht="11.25">
      <c r="A108" s="207" t="str">
        <f>A103</f>
        <v>Art.B</v>
      </c>
      <c r="B108" s="213">
        <f>B3</f>
        <v>9.3</v>
      </c>
      <c r="C108" s="214">
        <f>$H$45</f>
        <v>1.452182262205431</v>
      </c>
      <c r="D108" s="215">
        <f>B108*C108</f>
        <v>13.505295038510509</v>
      </c>
      <c r="E108" s="215">
        <f>E103+D108+B7+D7</f>
        <v>20.895295038510508</v>
      </c>
      <c r="F108" s="216">
        <f>B103*E108</f>
        <v>6289.483806591663</v>
      </c>
    </row>
    <row r="109" spans="1:6" ht="11.25">
      <c r="A109" s="209" t="str">
        <f>A104</f>
        <v>Art.C</v>
      </c>
      <c r="B109" s="213">
        <f>B4</f>
        <v>11.8</v>
      </c>
      <c r="C109" s="214">
        <f>$H$45</f>
        <v>1.452182262205431</v>
      </c>
      <c r="D109" s="215">
        <f>B109*C109</f>
        <v>17.135750694024086</v>
      </c>
      <c r="E109" s="215">
        <f>E104+D109+B8+D8</f>
        <v>24.215750694024088</v>
      </c>
      <c r="F109" s="216">
        <f>B104*E109</f>
        <v>2034.1230582980234</v>
      </c>
    </row>
    <row r="110" spans="5:6" ht="12" thickBot="1">
      <c r="E110" s="211" t="s">
        <v>200</v>
      </c>
      <c r="F110" s="217">
        <f>SUM(F107:F109)</f>
        <v>11316.009999999998</v>
      </c>
    </row>
    <row r="111" spans="1:5" ht="12" thickBot="1">
      <c r="A111" s="394" t="s">
        <v>308</v>
      </c>
      <c r="B111" s="395">
        <f>F28</f>
        <v>24819.25</v>
      </c>
      <c r="C111" s="396" t="s">
        <v>201</v>
      </c>
      <c r="D111" s="397">
        <f>D105-F110</f>
        <v>34041.990000000005</v>
      </c>
      <c r="E111" s="401"/>
    </row>
    <row r="112" spans="1:8" ht="12.75" customHeight="1">
      <c r="A112" s="311" t="s">
        <v>202</v>
      </c>
      <c r="B112" s="218">
        <f>F62</f>
        <v>753</v>
      </c>
      <c r="C112" s="219" t="s">
        <v>203</v>
      </c>
      <c r="D112" s="398">
        <f>B114</f>
        <v>31096.25</v>
      </c>
      <c r="E112" s="811" t="s">
        <v>216</v>
      </c>
      <c r="F112" s="812"/>
      <c r="G112" s="812"/>
      <c r="H112" s="813"/>
    </row>
    <row r="113" spans="1:8" ht="12" thickBot="1">
      <c r="A113" s="311" t="s">
        <v>204</v>
      </c>
      <c r="B113" s="220">
        <f>C62+C63</f>
        <v>5524</v>
      </c>
      <c r="C113" s="221" t="s">
        <v>187</v>
      </c>
      <c r="D113" s="109">
        <f>D111-D112</f>
        <v>2945.7400000000052</v>
      </c>
      <c r="E113" s="389"/>
      <c r="F113" s="124" t="s">
        <v>206</v>
      </c>
      <c r="G113" s="124" t="s">
        <v>207</v>
      </c>
      <c r="H113" s="226" t="s">
        <v>208</v>
      </c>
    </row>
    <row r="114" spans="1:8" ht="12.75" thickBot="1" thickTop="1">
      <c r="A114" s="312" t="s">
        <v>309</v>
      </c>
      <c r="B114" s="222">
        <f>SUM(B111:B113)</f>
        <v>31096.25</v>
      </c>
      <c r="C114" s="221" t="s">
        <v>38</v>
      </c>
      <c r="D114" s="399">
        <f>D113*F6</f>
        <v>1237.210800000002</v>
      </c>
      <c r="E114" s="310" t="s">
        <v>217</v>
      </c>
      <c r="F114" s="306">
        <v>1785</v>
      </c>
      <c r="G114" s="307"/>
      <c r="H114" s="308"/>
    </row>
    <row r="115" spans="1:8" ht="12.75" thickBot="1" thickTop="1">
      <c r="A115" s="210"/>
      <c r="B115" s="136"/>
      <c r="C115" s="223" t="s">
        <v>189</v>
      </c>
      <c r="D115" s="400">
        <f>D113-D114</f>
        <v>1708.5292000000031</v>
      </c>
      <c r="E115" s="310" t="s">
        <v>218</v>
      </c>
      <c r="F115" s="247">
        <f>D2*1000</f>
        <v>244000</v>
      </c>
      <c r="G115" s="247">
        <f>D3*1000</f>
        <v>301000</v>
      </c>
      <c r="H115" s="248">
        <f>D4*1000</f>
        <v>84000</v>
      </c>
    </row>
    <row r="116" spans="4:8" ht="12" thickBot="1">
      <c r="D116" s="224"/>
      <c r="E116" s="310" t="s">
        <v>219</v>
      </c>
      <c r="F116" s="247">
        <f>F115/$F$114</f>
        <v>136.69467787114846</v>
      </c>
      <c r="G116" s="247">
        <f>G115/$F$114</f>
        <v>168.62745098039215</v>
      </c>
      <c r="H116" s="248">
        <f>H115/$F$114</f>
        <v>47.05882352941177</v>
      </c>
    </row>
    <row r="117" spans="1:8" ht="11.25">
      <c r="A117" s="81" t="s">
        <v>301</v>
      </c>
      <c r="B117" s="83" t="s">
        <v>206</v>
      </c>
      <c r="C117" s="83" t="s">
        <v>207</v>
      </c>
      <c r="D117" s="82" t="s">
        <v>208</v>
      </c>
      <c r="E117" s="310" t="s">
        <v>220</v>
      </c>
      <c r="F117" s="249">
        <f>B118</f>
        <v>121</v>
      </c>
      <c r="G117" s="249">
        <f>C118</f>
        <v>30</v>
      </c>
      <c r="H117" s="250">
        <f>D118</f>
        <v>81</v>
      </c>
    </row>
    <row r="118" spans="1:8" ht="11.25">
      <c r="A118" s="90" t="s">
        <v>192</v>
      </c>
      <c r="B118" s="230">
        <f>C102</f>
        <v>121</v>
      </c>
      <c r="C118" s="230">
        <f>C103</f>
        <v>30</v>
      </c>
      <c r="D118" s="231">
        <f>C104</f>
        <v>81</v>
      </c>
      <c r="E118" s="310" t="s">
        <v>221</v>
      </c>
      <c r="F118" s="251">
        <f>E107</f>
        <v>12.263947275042266</v>
      </c>
      <c r="G118" s="251">
        <f>E108</f>
        <v>20.895295038510508</v>
      </c>
      <c r="H118" s="252">
        <f>E109</f>
        <v>24.215750694024088</v>
      </c>
    </row>
    <row r="119" spans="1:8" ht="11.25">
      <c r="A119" s="90" t="s">
        <v>149</v>
      </c>
      <c r="B119" s="233">
        <f>B102</f>
        <v>244</v>
      </c>
      <c r="C119" s="233">
        <f>B103</f>
        <v>301</v>
      </c>
      <c r="D119" s="234">
        <f>B104</f>
        <v>84</v>
      </c>
      <c r="E119" s="310" t="s">
        <v>222</v>
      </c>
      <c r="F119" s="253">
        <f>F117-F118</f>
        <v>108.73605272495773</v>
      </c>
      <c r="G119" s="253">
        <f>G117-G118</f>
        <v>9.104704961489492</v>
      </c>
      <c r="H119" s="254">
        <f>H117-H118</f>
        <v>56.78424930597591</v>
      </c>
    </row>
    <row r="120" spans="1:8" ht="12" thickBot="1">
      <c r="A120" s="90" t="s">
        <v>65</v>
      </c>
      <c r="B120" s="236">
        <f>D102</f>
        <v>29524</v>
      </c>
      <c r="C120" s="236">
        <f>D103</f>
        <v>9030</v>
      </c>
      <c r="D120" s="237">
        <f>D104</f>
        <v>6804</v>
      </c>
      <c r="E120" s="309" t="s">
        <v>223</v>
      </c>
      <c r="F120" s="255">
        <f>F116*F119</f>
        <v>14863.639700218311</v>
      </c>
      <c r="G120" s="255">
        <f>G116*G119</f>
        <v>1535.3031895845027</v>
      </c>
      <c r="H120" s="256">
        <f>H116*H119</f>
        <v>2672.1999673400433</v>
      </c>
    </row>
    <row r="121" spans="1:4" ht="11.25">
      <c r="A121" s="90" t="s">
        <v>302</v>
      </c>
      <c r="B121" s="238">
        <f>E107/C102</f>
        <v>0.1013549361573741</v>
      </c>
      <c r="C121" s="238">
        <f>E108/C103</f>
        <v>0.6965098346170169</v>
      </c>
      <c r="D121" s="239">
        <f>E109/C104</f>
        <v>0.2989598851114085</v>
      </c>
    </row>
    <row r="122" spans="1:4" ht="13.5" customHeight="1">
      <c r="A122" s="90" t="s">
        <v>63</v>
      </c>
      <c r="B122" s="236">
        <f>$B$114*F$104</f>
        <v>13993.3125</v>
      </c>
      <c r="C122" s="236">
        <f>$B$114*G$104</f>
        <v>6219.25</v>
      </c>
      <c r="D122" s="237">
        <f>$B$114*H$104</f>
        <v>10883.6875</v>
      </c>
    </row>
    <row r="123" spans="1:4" ht="11.25">
      <c r="A123" s="90" t="s">
        <v>303</v>
      </c>
      <c r="B123" s="236">
        <f>B$120*B$121</f>
        <v>2992.403135110313</v>
      </c>
      <c r="C123" s="236">
        <f>C$120*C$121</f>
        <v>6289.483806591662</v>
      </c>
      <c r="D123" s="237">
        <f>D$120*D$121</f>
        <v>2034.1230582980234</v>
      </c>
    </row>
    <row r="124" spans="1:4" ht="11.25">
      <c r="A124" s="90" t="s">
        <v>62</v>
      </c>
      <c r="B124" s="236">
        <f>B120-B123</f>
        <v>26531.59686488969</v>
      </c>
      <c r="C124" s="236">
        <f>C120-C123</f>
        <v>2740.516193408338</v>
      </c>
      <c r="D124" s="237">
        <f>D120-D123</f>
        <v>4769.876941701977</v>
      </c>
    </row>
    <row r="125" spans="1:4" ht="11.25">
      <c r="A125" s="90" t="s">
        <v>304</v>
      </c>
      <c r="B125" s="236">
        <f>B122+B123</f>
        <v>16985.71563511031</v>
      </c>
      <c r="C125" s="236">
        <f>C122+C123</f>
        <v>12508.733806591663</v>
      </c>
      <c r="D125" s="237">
        <f>D122+D123</f>
        <v>12917.810558298024</v>
      </c>
    </row>
    <row r="126" spans="1:4" ht="12" thickBot="1">
      <c r="A126" s="100" t="s">
        <v>69</v>
      </c>
      <c r="B126" s="390">
        <f>B120-B125</f>
        <v>12538.284364889689</v>
      </c>
      <c r="C126" s="390">
        <f>C120-C125</f>
        <v>-3478.733806591663</v>
      </c>
      <c r="D126" s="391">
        <f>D120-D125</f>
        <v>-6113.810558298024</v>
      </c>
    </row>
    <row r="127" spans="1:4" ht="11.25">
      <c r="A127" s="314" t="s">
        <v>306</v>
      </c>
      <c r="B127" s="392">
        <f>B122/(B118-E107)</f>
        <v>128.69064260954337</v>
      </c>
      <c r="C127" s="392">
        <f>C122/(C118-E108)</f>
        <v>683.0808934837308</v>
      </c>
      <c r="D127" s="393">
        <f>D122/(D118-E109)</f>
        <v>191.6673660922134</v>
      </c>
    </row>
    <row r="128" spans="1:4" ht="12" thickBot="1">
      <c r="A128" s="313" t="s">
        <v>305</v>
      </c>
      <c r="B128" s="243">
        <f>B127*B118</f>
        <v>15571.567755754748</v>
      </c>
      <c r="C128" s="243">
        <f>C127*C118</f>
        <v>20492.426804511924</v>
      </c>
      <c r="D128" s="244">
        <f>D127*D118</f>
        <v>15525.056653469286</v>
      </c>
    </row>
    <row r="129" spans="1:8" ht="12" thickBot="1">
      <c r="A129" s="811" t="s">
        <v>67</v>
      </c>
      <c r="B129" s="812"/>
      <c r="C129" s="812"/>
      <c r="D129" s="812"/>
      <c r="E129" s="813"/>
      <c r="F129" s="875" t="s">
        <v>307</v>
      </c>
      <c r="G129" s="876"/>
      <c r="H129" s="877"/>
    </row>
    <row r="130" spans="1:8" ht="11.25">
      <c r="A130" s="245"/>
      <c r="B130" s="246"/>
      <c r="C130" s="124" t="s">
        <v>206</v>
      </c>
      <c r="D130" s="124" t="s">
        <v>207</v>
      </c>
      <c r="E130" s="226" t="s">
        <v>208</v>
      </c>
      <c r="F130" s="288"/>
      <c r="G130" s="83" t="s">
        <v>240</v>
      </c>
      <c r="H130" s="315"/>
    </row>
    <row r="131" spans="1:8" ht="11.25">
      <c r="A131" s="199"/>
      <c r="B131" s="257" t="s">
        <v>224</v>
      </c>
      <c r="C131" s="258">
        <f aca="true" t="shared" si="2" ref="C131:E132">F117</f>
        <v>121</v>
      </c>
      <c r="D131" s="258">
        <f t="shared" si="2"/>
        <v>30</v>
      </c>
      <c r="E131" s="259">
        <f t="shared" si="2"/>
        <v>81</v>
      </c>
      <c r="F131" s="289" t="s">
        <v>241</v>
      </c>
      <c r="G131" s="290">
        <f>B120</f>
        <v>29524</v>
      </c>
      <c r="H131" s="198"/>
    </row>
    <row r="132" spans="1:8" ht="11.25">
      <c r="A132" s="200"/>
      <c r="B132" s="260" t="s">
        <v>225</v>
      </c>
      <c r="C132" s="261">
        <f t="shared" si="2"/>
        <v>12.263947275042266</v>
      </c>
      <c r="D132" s="261">
        <f t="shared" si="2"/>
        <v>20.895295038510508</v>
      </c>
      <c r="E132" s="262">
        <f t="shared" si="2"/>
        <v>24.215750694024088</v>
      </c>
      <c r="F132" s="289" t="s">
        <v>242</v>
      </c>
      <c r="G132" s="290">
        <f>B126</f>
        <v>12538.284364889689</v>
      </c>
      <c r="H132" s="198"/>
    </row>
    <row r="133" spans="1:8" ht="11.25">
      <c r="A133" s="200"/>
      <c r="B133" s="260" t="s">
        <v>226</v>
      </c>
      <c r="C133" s="263">
        <f>B122/12*1000</f>
        <v>1166109.375</v>
      </c>
      <c r="D133" s="263">
        <f>C122/12*1000</f>
        <v>518270.8333333334</v>
      </c>
      <c r="E133" s="259">
        <f>D122/12*1000</f>
        <v>906973.9583333334</v>
      </c>
      <c r="F133" s="324" t="s">
        <v>243</v>
      </c>
      <c r="G133" s="291">
        <f>B128</f>
        <v>15571.567755754748</v>
      </c>
      <c r="H133" s="198"/>
    </row>
    <row r="134" spans="1:8" ht="11.25">
      <c r="A134" s="200"/>
      <c r="B134" s="260" t="s">
        <v>227</v>
      </c>
      <c r="C134" s="264">
        <v>20000</v>
      </c>
      <c r="D134" s="264">
        <v>25000</v>
      </c>
      <c r="E134" s="265">
        <v>7000</v>
      </c>
      <c r="F134" s="324" t="s">
        <v>244</v>
      </c>
      <c r="G134" s="292">
        <f>G132/G131</f>
        <v>0.42468108538442245</v>
      </c>
      <c r="H134" s="198"/>
    </row>
    <row r="135" spans="1:8" ht="11.25">
      <c r="A135" s="814" t="s">
        <v>228</v>
      </c>
      <c r="B135" s="815"/>
      <c r="C135" s="264">
        <v>15000</v>
      </c>
      <c r="D135" s="264">
        <v>19000</v>
      </c>
      <c r="E135" s="265">
        <v>4000</v>
      </c>
      <c r="F135" s="325" t="s">
        <v>149</v>
      </c>
      <c r="G135" s="293">
        <v>0.01</v>
      </c>
      <c r="H135" s="294">
        <v>-0.01</v>
      </c>
    </row>
    <row r="136" spans="1:8" ht="12" thickBot="1">
      <c r="A136" s="814" t="s">
        <v>229</v>
      </c>
      <c r="B136" s="815"/>
      <c r="C136" s="264">
        <f>C134*2-C135</f>
        <v>25000</v>
      </c>
      <c r="D136" s="264">
        <f>D134*2-D135</f>
        <v>31000</v>
      </c>
      <c r="E136" s="265">
        <f>E134*2-E135</f>
        <v>10000</v>
      </c>
      <c r="F136" s="324" t="s">
        <v>245</v>
      </c>
      <c r="G136" s="291">
        <f>($G$131*(1+G135)*(1-$B$121)-$B$122)-$G$132</f>
        <v>265.31596864889434</v>
      </c>
      <c r="H136" s="295">
        <f>($G$131*(1+H135)*(1-$B$121)-$B$122)-$G$132</f>
        <v>-265.3159686489016</v>
      </c>
    </row>
    <row r="137" spans="1:8" ht="11.25">
      <c r="A137" s="805" t="s">
        <v>230</v>
      </c>
      <c r="B137" s="806"/>
      <c r="C137" s="806"/>
      <c r="D137" s="806"/>
      <c r="E137" s="807"/>
      <c r="F137" s="324" t="s">
        <v>244</v>
      </c>
      <c r="G137" s="296">
        <f>(G136+$G$132)/$G$131</f>
        <v>0.43366753602284863</v>
      </c>
      <c r="H137" s="297">
        <f>(H136+$G$132)/$G$131</f>
        <v>0.41569463474599605</v>
      </c>
    </row>
    <row r="138" spans="1:8" ht="11.25" customHeight="1">
      <c r="A138" s="266" t="s">
        <v>231</v>
      </c>
      <c r="B138" s="320" t="s">
        <v>49</v>
      </c>
      <c r="C138" s="267">
        <f>C131*C135</f>
        <v>1815000</v>
      </c>
      <c r="D138" s="267">
        <f>D131*D135</f>
        <v>570000</v>
      </c>
      <c r="E138" s="268">
        <f>E131*E135</f>
        <v>324000</v>
      </c>
      <c r="F138" s="324" t="s">
        <v>243</v>
      </c>
      <c r="G138" s="291">
        <f>$B$122/($B$118-$F$118)*$B$118</f>
        <v>15571.567755754748</v>
      </c>
      <c r="H138" s="295">
        <f>$B$122/($B$118-$F$118)*$B$118</f>
        <v>15571.567755754748</v>
      </c>
    </row>
    <row r="139" spans="1:8" ht="11.25">
      <c r="A139" s="200"/>
      <c r="B139" s="320" t="s">
        <v>232</v>
      </c>
      <c r="C139" s="269">
        <f>(C134-C135)*C132+(C134-C135)*C133/C134</f>
        <v>352847.08012521133</v>
      </c>
      <c r="D139" s="270">
        <f>(D134-D135)*D132+(D134-D135)*D133/D134</f>
        <v>249756.77023106304</v>
      </c>
      <c r="E139" s="271">
        <f>(E134-E135)*E132+(E134-E135)*E133/E134</f>
        <v>461350.37708207226</v>
      </c>
      <c r="F139" s="325" t="s">
        <v>192</v>
      </c>
      <c r="G139" s="293">
        <v>0.01</v>
      </c>
      <c r="H139" s="294">
        <v>-0.01</v>
      </c>
    </row>
    <row r="140" spans="1:8" ht="11.25">
      <c r="A140" s="200"/>
      <c r="B140" s="320" t="s">
        <v>68</v>
      </c>
      <c r="C140" s="272">
        <f>C138+C139</f>
        <v>2167847.0801252113</v>
      </c>
      <c r="D140" s="272">
        <f>D138+D139</f>
        <v>819756.770231063</v>
      </c>
      <c r="E140" s="273">
        <f>E138+E139</f>
        <v>785350.3770820722</v>
      </c>
      <c r="F140" s="324" t="s">
        <v>245</v>
      </c>
      <c r="G140" s="291">
        <f>($B$118*(1+G139)*$B$119-$B$119*$F$118-$B$122)-$G$132</f>
        <v>295.23999999999796</v>
      </c>
      <c r="H140" s="295">
        <f>($B$118*(1+H139)*$B$119-$B$119*$F$118-$B$122)-$G$132</f>
        <v>-295.24000000000524</v>
      </c>
    </row>
    <row r="141" spans="1:8" ht="11.25">
      <c r="A141" s="200"/>
      <c r="B141" s="320" t="s">
        <v>66</v>
      </c>
      <c r="C141" s="269">
        <f>C134*C132+C133</f>
        <v>1411388.3205008453</v>
      </c>
      <c r="D141" s="270">
        <f>D134*D132+D133</f>
        <v>1040653.2092960961</v>
      </c>
      <c r="E141" s="271">
        <f>E134*E132+E133</f>
        <v>1076484.213191502</v>
      </c>
      <c r="F141" s="324" t="s">
        <v>244</v>
      </c>
      <c r="G141" s="296">
        <f>(G140+$G$132)/$G$131</f>
        <v>0.4346810853844224</v>
      </c>
      <c r="H141" s="297">
        <f>(H140+$G$132)/$G$131</f>
        <v>0.4146810853844223</v>
      </c>
    </row>
    <row r="142" spans="1:8" ht="12" thickBot="1">
      <c r="A142" s="200"/>
      <c r="B142" s="320" t="s">
        <v>69</v>
      </c>
      <c r="C142" s="272">
        <f>C140-C141</f>
        <v>756458.759624366</v>
      </c>
      <c r="D142" s="272">
        <f>D140-D141</f>
        <v>-220896.4390650331</v>
      </c>
      <c r="E142" s="273">
        <f>E140-E141</f>
        <v>-291133.83610942983</v>
      </c>
      <c r="F142" s="324" t="s">
        <v>243</v>
      </c>
      <c r="G142" s="291">
        <f>$B$122/($B$118*(1+G139)-$F$118)*$B$118*(1+G139)</f>
        <v>15554.198429506714</v>
      </c>
      <c r="H142" s="295">
        <f>$B$122/($B$118*(1+H139)-$F$118)*$B$118*(1+H139)</f>
        <v>15589.327999073157</v>
      </c>
    </row>
    <row r="143" spans="1:8" ht="11.25">
      <c r="A143" s="274" t="s">
        <v>233</v>
      </c>
      <c r="B143" s="321" t="s">
        <v>49</v>
      </c>
      <c r="C143" s="275">
        <f>C131*C136</f>
        <v>3025000</v>
      </c>
      <c r="D143" s="275">
        <f>D131*D136</f>
        <v>930000</v>
      </c>
      <c r="E143" s="276">
        <f>E131*E136</f>
        <v>810000</v>
      </c>
      <c r="F143" s="325" t="s">
        <v>246</v>
      </c>
      <c r="G143" s="293" t="s">
        <v>247</v>
      </c>
      <c r="H143" s="294" t="s">
        <v>248</v>
      </c>
    </row>
    <row r="144" spans="1:8" ht="11.25">
      <c r="A144" s="200"/>
      <c r="B144" s="320" t="s">
        <v>232</v>
      </c>
      <c r="C144" s="269">
        <f>(C134-C136)*C132+(C134-C136)*C133/C134</f>
        <v>-352847.08012521133</v>
      </c>
      <c r="D144" s="270">
        <f>(D134-D136)*D132+(D134-D136)*D133/D134</f>
        <v>-249756.77023106304</v>
      </c>
      <c r="E144" s="271">
        <f>(E134-E136)*E132+(E134-E136)*E133/E134</f>
        <v>-461350.37708207226</v>
      </c>
      <c r="F144" s="324" t="s">
        <v>249</v>
      </c>
      <c r="G144" s="291">
        <f>($G$131-$B$119*$F$118*(1+G143)-$B$122)-$G$132</f>
        <v>-29.924031351103622</v>
      </c>
      <c r="H144" s="295">
        <f>($G$131-$B$119*$F$118*(1+H143)-$B$122)-$G$132</f>
        <v>29.924031351099984</v>
      </c>
    </row>
    <row r="145" spans="1:8" ht="11.25">
      <c r="A145" s="200"/>
      <c r="B145" s="320" t="s">
        <v>68</v>
      </c>
      <c r="C145" s="272">
        <f>C143+C144</f>
        <v>2672152.9198747887</v>
      </c>
      <c r="D145" s="272">
        <f>D143+D144</f>
        <v>680243.229768937</v>
      </c>
      <c r="E145" s="273">
        <f>E143+E144</f>
        <v>348649.62291792774</v>
      </c>
      <c r="F145" s="324" t="s">
        <v>244</v>
      </c>
      <c r="G145" s="296">
        <f>(G144+$G$132)/$G$131</f>
        <v>0.4236675360228487</v>
      </c>
      <c r="H145" s="297">
        <f>(H144+$G$132)/$G$131</f>
        <v>0.4256946347459961</v>
      </c>
    </row>
    <row r="146" spans="1:8" ht="11.25">
      <c r="A146" s="200"/>
      <c r="B146" s="320" t="s">
        <v>66</v>
      </c>
      <c r="C146" s="272">
        <f>C141</f>
        <v>1411388.3205008453</v>
      </c>
      <c r="D146" s="272">
        <f>D141</f>
        <v>1040653.2092960961</v>
      </c>
      <c r="E146" s="273">
        <f>E141</f>
        <v>1076484.213191502</v>
      </c>
      <c r="F146" s="324" t="s">
        <v>243</v>
      </c>
      <c r="G146" s="291">
        <f>$B$122/($B$118-$F$118*(1+G143))*$B$118</f>
        <v>15589.150196102413</v>
      </c>
      <c r="H146" s="295">
        <f>$B$122/($B$118-$F$118*(1+H143))*$B$118</f>
        <v>15554.024931925898</v>
      </c>
    </row>
    <row r="147" spans="1:8" ht="12" thickBot="1">
      <c r="A147" s="200"/>
      <c r="B147" s="322" t="s">
        <v>69</v>
      </c>
      <c r="C147" s="272">
        <f>C145-C146</f>
        <v>1260764.5993739434</v>
      </c>
      <c r="D147" s="272">
        <f>D145-D146</f>
        <v>-360409.9795271591</v>
      </c>
      <c r="E147" s="277">
        <f>E145-E146</f>
        <v>-727834.5902735742</v>
      </c>
      <c r="F147" s="325" t="s">
        <v>213</v>
      </c>
      <c r="G147" s="293" t="s">
        <v>247</v>
      </c>
      <c r="H147" s="294" t="s">
        <v>248</v>
      </c>
    </row>
    <row r="148" spans="1:8" ht="11.25">
      <c r="A148" s="805" t="s">
        <v>234</v>
      </c>
      <c r="B148" s="806"/>
      <c r="C148" s="806"/>
      <c r="D148" s="806"/>
      <c r="E148" s="807"/>
      <c r="F148" s="324" t="s">
        <v>249</v>
      </c>
      <c r="G148" s="291">
        <f>($G$131-$B$119*$F$118-$B$122*(1+G147))-$G$132</f>
        <v>-139.93312499999956</v>
      </c>
      <c r="H148" s="295">
        <f>($G$131-$B$119*$F$118-$B$122*(1+H147))-$G$132</f>
        <v>139.93312499999956</v>
      </c>
    </row>
    <row r="149" spans="1:8" ht="11.25" customHeight="1">
      <c r="A149" s="266" t="s">
        <v>231</v>
      </c>
      <c r="B149" s="320" t="s">
        <v>49</v>
      </c>
      <c r="C149" s="267">
        <f>C138</f>
        <v>1815000</v>
      </c>
      <c r="D149" s="267">
        <f>D138</f>
        <v>570000</v>
      </c>
      <c r="E149" s="278">
        <f>E138</f>
        <v>324000</v>
      </c>
      <c r="F149" s="324" t="s">
        <v>244</v>
      </c>
      <c r="G149" s="296">
        <f>(G148+$G$132)/$G$131</f>
        <v>0.4199414455998404</v>
      </c>
      <c r="H149" s="297">
        <f>(H148+$G$132)/$G$131</f>
        <v>0.4294207251690045</v>
      </c>
    </row>
    <row r="150" spans="1:8" ht="12" thickBot="1">
      <c r="A150" s="200"/>
      <c r="B150" s="320" t="s">
        <v>235</v>
      </c>
      <c r="C150" s="269">
        <f>C135*C132+C135*C133/C134</f>
        <v>1058541.240375634</v>
      </c>
      <c r="D150" s="270">
        <f>D135*D132+D135*D133/D134</f>
        <v>790896.4390650331</v>
      </c>
      <c r="E150" s="279">
        <f>E135*E132+E135*E133/E134</f>
        <v>615133.8361094297</v>
      </c>
      <c r="F150" s="326" t="s">
        <v>243</v>
      </c>
      <c r="G150" s="298">
        <f>$B$122*(1+G147)/($B$118-$F$118)*$B$118</f>
        <v>15727.283433312297</v>
      </c>
      <c r="H150" s="299">
        <f>$B$122*(1+H147)/($B$118-$F$118)*$B$118</f>
        <v>15415.852078197202</v>
      </c>
    </row>
    <row r="151" spans="1:5" ht="12" thickBot="1">
      <c r="A151" s="200"/>
      <c r="B151" s="320" t="s">
        <v>69</v>
      </c>
      <c r="C151" s="272">
        <f>C149-C150</f>
        <v>756458.759624366</v>
      </c>
      <c r="D151" s="272">
        <f>D149-D150</f>
        <v>-220896.4390650331</v>
      </c>
      <c r="E151" s="280">
        <f>E149-E150</f>
        <v>-291133.8361094297</v>
      </c>
    </row>
    <row r="152" spans="1:5" ht="11.25">
      <c r="A152" s="274" t="s">
        <v>233</v>
      </c>
      <c r="B152" s="321" t="s">
        <v>49</v>
      </c>
      <c r="C152" s="275">
        <f>C143</f>
        <v>3025000</v>
      </c>
      <c r="D152" s="275">
        <f>D143</f>
        <v>930000</v>
      </c>
      <c r="E152" s="281">
        <f>E143</f>
        <v>810000</v>
      </c>
    </row>
    <row r="153" spans="1:5" ht="11.25">
      <c r="A153" s="200"/>
      <c r="B153" s="320" t="s">
        <v>235</v>
      </c>
      <c r="C153" s="269">
        <f>C132*C136+C136*C133/C134</f>
        <v>1764235.4006260566</v>
      </c>
      <c r="D153" s="270">
        <f>D132*D136+D136*D133/D134</f>
        <v>1290409.9795271591</v>
      </c>
      <c r="E153" s="279">
        <f>E132*E136+E136*E133/E134</f>
        <v>1537834.5902735745</v>
      </c>
    </row>
    <row r="154" spans="1:5" ht="12" thickBot="1">
      <c r="A154" s="200"/>
      <c r="B154" s="322" t="s">
        <v>69</v>
      </c>
      <c r="C154" s="267">
        <f>C152-C153</f>
        <v>1260764.5993739434</v>
      </c>
      <c r="D154" s="267">
        <f>D152-D153</f>
        <v>-360409.9795271591</v>
      </c>
      <c r="E154" s="278">
        <f>E152-E153</f>
        <v>-727834.5902735745</v>
      </c>
    </row>
    <row r="155" spans="1:5" ht="11.25">
      <c r="A155" s="805" t="s">
        <v>236</v>
      </c>
      <c r="B155" s="806"/>
      <c r="C155" s="806"/>
      <c r="D155" s="806"/>
      <c r="E155" s="807"/>
    </row>
    <row r="156" spans="1:5" ht="11.25" customHeight="1">
      <c r="A156" s="266" t="s">
        <v>231</v>
      </c>
      <c r="B156" s="320" t="s">
        <v>49</v>
      </c>
      <c r="C156" s="282">
        <f>C149</f>
        <v>1815000</v>
      </c>
      <c r="D156" s="282">
        <f>D149</f>
        <v>570000</v>
      </c>
      <c r="E156" s="283">
        <f>E149</f>
        <v>324000</v>
      </c>
    </row>
    <row r="157" spans="1:5" ht="11.25">
      <c r="A157" s="200"/>
      <c r="B157" s="320" t="s">
        <v>237</v>
      </c>
      <c r="C157" s="272">
        <f>C132*C135</f>
        <v>183959.209125634</v>
      </c>
      <c r="D157" s="272">
        <f>D132*D135</f>
        <v>397010.6057316997</v>
      </c>
      <c r="E157" s="280">
        <f>E132*E135</f>
        <v>96863.00277609636</v>
      </c>
    </row>
    <row r="158" spans="1:5" ht="11.25">
      <c r="A158" s="200"/>
      <c r="B158" s="320" t="s">
        <v>238</v>
      </c>
      <c r="C158" s="269">
        <f>C133</f>
        <v>1166109.375</v>
      </c>
      <c r="D158" s="270">
        <f>D133</f>
        <v>518270.8333333334</v>
      </c>
      <c r="E158" s="279">
        <f>E133</f>
        <v>906973.9583333334</v>
      </c>
    </row>
    <row r="159" spans="1:5" ht="12" thickBot="1">
      <c r="A159" s="200"/>
      <c r="B159" s="320" t="s">
        <v>69</v>
      </c>
      <c r="C159" s="272">
        <f>C156-C157-C158</f>
        <v>464931.41587436595</v>
      </c>
      <c r="D159" s="272">
        <f>D156-D157-D158</f>
        <v>-345281.43906503305</v>
      </c>
      <c r="E159" s="280">
        <f>E156-E157-E158</f>
        <v>-679836.9611094297</v>
      </c>
    </row>
    <row r="160" spans="1:5" ht="11.25">
      <c r="A160" s="274" t="s">
        <v>233</v>
      </c>
      <c r="B160" s="321" t="s">
        <v>49</v>
      </c>
      <c r="C160" s="275">
        <f>C152</f>
        <v>3025000</v>
      </c>
      <c r="D160" s="275">
        <f>D152</f>
        <v>930000</v>
      </c>
      <c r="E160" s="281">
        <f>E152</f>
        <v>810000</v>
      </c>
    </row>
    <row r="161" spans="1:5" ht="11.25">
      <c r="A161" s="200"/>
      <c r="B161" s="320" t="s">
        <v>237</v>
      </c>
      <c r="C161" s="272">
        <f>C132*C136</f>
        <v>306598.68187605665</v>
      </c>
      <c r="D161" s="272">
        <f>D132*D136</f>
        <v>647754.1461938258</v>
      </c>
      <c r="E161" s="280">
        <f>E132*E136</f>
        <v>242157.50694024088</v>
      </c>
    </row>
    <row r="162" spans="1:5" ht="11.25">
      <c r="A162" s="200"/>
      <c r="B162" s="320" t="s">
        <v>238</v>
      </c>
      <c r="C162" s="269">
        <f>C158</f>
        <v>1166109.375</v>
      </c>
      <c r="D162" s="270">
        <f>D158</f>
        <v>518270.8333333334</v>
      </c>
      <c r="E162" s="279">
        <f>E158</f>
        <v>906973.9583333334</v>
      </c>
    </row>
    <row r="163" spans="1:5" ht="12" thickBot="1">
      <c r="A163" s="284"/>
      <c r="B163" s="322" t="s">
        <v>69</v>
      </c>
      <c r="C163" s="285">
        <f>C160-C161-C162</f>
        <v>1552291.9431239432</v>
      </c>
      <c r="D163" s="285">
        <f>D160-D161-D162</f>
        <v>-236024.97952715913</v>
      </c>
      <c r="E163" s="286">
        <f>E160-E161-E162</f>
        <v>-339131.4652735742</v>
      </c>
    </row>
    <row r="164" spans="2:5" ht="11.25">
      <c r="B164" s="323" t="s">
        <v>239</v>
      </c>
      <c r="C164" s="287">
        <f>C151+C154</f>
        <v>2017223.3589983094</v>
      </c>
      <c r="D164" s="287">
        <f>D151+D154</f>
        <v>-581306.4185921922</v>
      </c>
      <c r="E164" s="287">
        <f>E151+E154</f>
        <v>-1018968.4263830042</v>
      </c>
    </row>
    <row r="165" spans="2:5" ht="12" thickBot="1">
      <c r="B165" s="323" t="s">
        <v>71</v>
      </c>
      <c r="C165" s="287">
        <f>C159+C163</f>
        <v>2017223.3589983091</v>
      </c>
      <c r="D165" s="287">
        <f>D159+D163</f>
        <v>-581306.4185921922</v>
      </c>
      <c r="E165" s="287">
        <f>E159+E163</f>
        <v>-1018968.4263830039</v>
      </c>
    </row>
    <row r="166" spans="1:8" ht="13.5" customHeight="1" thickBot="1">
      <c r="A166" s="882" t="s">
        <v>82</v>
      </c>
      <c r="B166" s="883"/>
      <c r="C166" s="883"/>
      <c r="D166" s="883"/>
      <c r="E166" s="883"/>
      <c r="F166" s="884"/>
      <c r="G166" s="805" t="s">
        <v>250</v>
      </c>
      <c r="H166" s="807"/>
    </row>
    <row r="167" spans="1:8" ht="12" thickBot="1">
      <c r="A167" s="881"/>
      <c r="B167" s="881"/>
      <c r="C167" s="419" t="s">
        <v>206</v>
      </c>
      <c r="D167" s="419" t="s">
        <v>207</v>
      </c>
      <c r="E167" s="419" t="s">
        <v>208</v>
      </c>
      <c r="F167" s="420" t="s">
        <v>20</v>
      </c>
      <c r="G167" s="428" t="s">
        <v>312</v>
      </c>
      <c r="H167" s="412">
        <f>D54</f>
        <v>45358</v>
      </c>
    </row>
    <row r="168" spans="1:8" ht="11.25">
      <c r="A168" s="799" t="s">
        <v>259</v>
      </c>
      <c r="B168" s="671"/>
      <c r="C168" s="327">
        <f>B119</f>
        <v>244</v>
      </c>
      <c r="D168" s="327">
        <f>C119</f>
        <v>301</v>
      </c>
      <c r="E168" s="327">
        <f>D119</f>
        <v>84</v>
      </c>
      <c r="F168" s="328">
        <f>SUM(C168:E168)</f>
        <v>629</v>
      </c>
      <c r="G168" s="429" t="s">
        <v>313</v>
      </c>
      <c r="H168" s="410">
        <v>0</v>
      </c>
    </row>
    <row r="169" spans="1:8" ht="12" thickBot="1">
      <c r="A169" s="795" t="s">
        <v>260</v>
      </c>
      <c r="B169" s="796"/>
      <c r="C169" s="331">
        <f>E2</f>
        <v>121</v>
      </c>
      <c r="D169" s="331">
        <f>E3</f>
        <v>30</v>
      </c>
      <c r="E169" s="331">
        <f>E4</f>
        <v>81</v>
      </c>
      <c r="F169" s="371"/>
      <c r="G169" s="430" t="s">
        <v>314</v>
      </c>
      <c r="H169" s="413">
        <v>0</v>
      </c>
    </row>
    <row r="170" spans="1:8" ht="12" thickBot="1">
      <c r="A170" s="800" t="s">
        <v>65</v>
      </c>
      <c r="B170" s="801"/>
      <c r="C170" s="332">
        <f>C168*C169</f>
        <v>29524</v>
      </c>
      <c r="D170" s="332">
        <f>D168*D169</f>
        <v>9030</v>
      </c>
      <c r="E170" s="332">
        <f>E168*E169</f>
        <v>6804</v>
      </c>
      <c r="F170" s="333">
        <f>SUM(C170:E170)</f>
        <v>45358</v>
      </c>
      <c r="G170" s="431" t="s">
        <v>315</v>
      </c>
      <c r="H170" s="414">
        <f>SUM(H167:H169)</f>
        <v>45358</v>
      </c>
    </row>
    <row r="171" spans="1:8" ht="12.75" thickBot="1" thickTop="1">
      <c r="A171" s="802" t="s">
        <v>261</v>
      </c>
      <c r="B171" s="803"/>
      <c r="C171" s="334">
        <f>C168*F118</f>
        <v>2992.403135110313</v>
      </c>
      <c r="D171" s="334">
        <f>D168*G118</f>
        <v>6289.483806591663</v>
      </c>
      <c r="E171" s="334">
        <f>E168*H118</f>
        <v>2034.1230582980234</v>
      </c>
      <c r="F171" s="335">
        <f>SUM(C171:E171)</f>
        <v>11316.009999999998</v>
      </c>
      <c r="G171" s="428" t="s">
        <v>253</v>
      </c>
      <c r="H171" s="412">
        <f>C55</f>
        <v>6957.259999999999</v>
      </c>
    </row>
    <row r="172" spans="1:8" ht="12" thickTop="1">
      <c r="A172" s="536" t="s">
        <v>262</v>
      </c>
      <c r="B172" s="537"/>
      <c r="C172" s="336">
        <f>C170-C171</f>
        <v>26531.59686488969</v>
      </c>
      <c r="D172" s="336">
        <f>D170-D171</f>
        <v>2740.516193408337</v>
      </c>
      <c r="E172" s="336">
        <f>E170-E171</f>
        <v>4769.876941701977</v>
      </c>
      <c r="F172" s="337"/>
      <c r="G172" s="429" t="s">
        <v>316</v>
      </c>
      <c r="H172" s="409">
        <f>C57</f>
        <v>2917</v>
      </c>
    </row>
    <row r="173" spans="1:8" ht="12" thickBot="1">
      <c r="A173" s="800" t="s">
        <v>72</v>
      </c>
      <c r="B173" s="801"/>
      <c r="C173" s="332">
        <f>B122</f>
        <v>13993.3125</v>
      </c>
      <c r="D173" s="332">
        <f>C122</f>
        <v>6219.25</v>
      </c>
      <c r="E173" s="332">
        <f>D122</f>
        <v>10883.6875</v>
      </c>
      <c r="F173" s="333">
        <f>SUM(C173:E173)</f>
        <v>31096.25</v>
      </c>
      <c r="G173" s="429" t="s">
        <v>255</v>
      </c>
      <c r="H173" s="409">
        <f>C62+C63</f>
        <v>5524</v>
      </c>
    </row>
    <row r="174" spans="1:8" ht="12.75" thickBot="1" thickTop="1">
      <c r="A174" s="802" t="s">
        <v>263</v>
      </c>
      <c r="B174" s="803"/>
      <c r="C174" s="334">
        <f>C172-C173</f>
        <v>12538.284364889689</v>
      </c>
      <c r="D174" s="334">
        <f>D172-D173</f>
        <v>-3478.733806591663</v>
      </c>
      <c r="E174" s="334">
        <f>E172-E173</f>
        <v>-6113.810558298023</v>
      </c>
      <c r="F174" s="335">
        <f>SUM(C174:E174)</f>
        <v>2945.7400000000025</v>
      </c>
      <c r="G174" s="430" t="s">
        <v>256</v>
      </c>
      <c r="H174" s="415">
        <f>C58</f>
        <v>26261</v>
      </c>
    </row>
    <row r="175" spans="1:8" ht="12.75" thickBot="1" thickTop="1">
      <c r="A175" s="536" t="s">
        <v>264</v>
      </c>
      <c r="B175" s="537"/>
      <c r="C175" s="338">
        <f>D107</f>
        <v>5.953947275042267</v>
      </c>
      <c r="D175" s="338">
        <f>D108</f>
        <v>13.505295038510509</v>
      </c>
      <c r="E175" s="338">
        <f>D109</f>
        <v>17.135750694024086</v>
      </c>
      <c r="F175" s="372"/>
      <c r="G175" s="431" t="s">
        <v>317</v>
      </c>
      <c r="H175" s="414">
        <f>H170-H171-H172-H173-H174</f>
        <v>3698.739999999998</v>
      </c>
    </row>
    <row r="176" spans="1:8" ht="11.25">
      <c r="A176" s="795" t="s">
        <v>292</v>
      </c>
      <c r="B176" s="796"/>
      <c r="C176" s="340">
        <f>C175*C168</f>
        <v>1452.763135110313</v>
      </c>
      <c r="D176" s="340">
        <f>D175*D168</f>
        <v>4065.093806591663</v>
      </c>
      <c r="E176" s="340">
        <f>E175*E168</f>
        <v>1439.4030582980233</v>
      </c>
      <c r="F176" s="370"/>
      <c r="G176" s="428" t="s">
        <v>0</v>
      </c>
      <c r="H176" s="412">
        <f>C59+C60</f>
        <v>753</v>
      </c>
    </row>
    <row r="177" spans="1:8" ht="11.25">
      <c r="A177" s="795" t="s">
        <v>265</v>
      </c>
      <c r="B177" s="796"/>
      <c r="C177" s="341">
        <f>1/(F115/($C$179*60))</f>
        <v>0.43893442622950823</v>
      </c>
      <c r="D177" s="341">
        <f>1/(G115/($C$179*60))</f>
        <v>0.35581395348837214</v>
      </c>
      <c r="E177" s="341">
        <f>1/(H115/($C$179*60))</f>
        <v>1.275</v>
      </c>
      <c r="F177" s="339"/>
      <c r="G177" s="429" t="s">
        <v>318</v>
      </c>
      <c r="H177" s="409">
        <f>H175-H176</f>
        <v>2945.739999999998</v>
      </c>
    </row>
    <row r="178" spans="1:8" ht="11.25">
      <c r="A178" s="795" t="s">
        <v>266</v>
      </c>
      <c r="B178" s="796"/>
      <c r="C178" s="342">
        <f>C2*F115/C179</f>
        <v>656.1344537815127</v>
      </c>
      <c r="D178" s="342">
        <f>C3*G115/C179</f>
        <v>775.6862745098039</v>
      </c>
      <c r="E178" s="342">
        <f>C4*H115/C179</f>
        <v>202.35294117647058</v>
      </c>
      <c r="F178" s="343">
        <f>SUM(C178:E178)</f>
        <v>1634.173669467787</v>
      </c>
      <c r="G178" s="429" t="s">
        <v>319</v>
      </c>
      <c r="H178" s="409">
        <v>0</v>
      </c>
    </row>
    <row r="179" spans="1:8" ht="12" thickBot="1">
      <c r="A179" s="795" t="s">
        <v>267</v>
      </c>
      <c r="B179" s="796"/>
      <c r="C179" s="804">
        <f>F114</f>
        <v>1785</v>
      </c>
      <c r="D179" s="804"/>
      <c r="E179" s="804"/>
      <c r="F179" s="330"/>
      <c r="G179" s="430" t="s">
        <v>320</v>
      </c>
      <c r="H179" s="415">
        <f>E98</f>
        <v>1237.2108000000005</v>
      </c>
    </row>
    <row r="180" spans="1:8" ht="12" thickBot="1">
      <c r="A180" s="795" t="s">
        <v>268</v>
      </c>
      <c r="B180" s="796"/>
      <c r="C180" s="344">
        <f>C178*C179</f>
        <v>1171200</v>
      </c>
      <c r="D180" s="344">
        <f>D178*C179</f>
        <v>1384600</v>
      </c>
      <c r="E180" s="344">
        <f>E178*C179</f>
        <v>361200</v>
      </c>
      <c r="F180" s="345">
        <f>SUM(C180:E180)</f>
        <v>2917000</v>
      </c>
      <c r="G180" s="431"/>
      <c r="H180" s="414">
        <f>H177+H178-H179</f>
        <v>1708.5291999999974</v>
      </c>
    </row>
    <row r="181" spans="1:8" ht="11.25">
      <c r="A181" s="526" t="s">
        <v>270</v>
      </c>
      <c r="B181" s="527"/>
      <c r="C181" s="528">
        <f>H16</f>
        <v>920</v>
      </c>
      <c r="D181" s="528"/>
      <c r="E181" s="528"/>
      <c r="F181" s="347"/>
      <c r="G181" s="428" t="s">
        <v>8</v>
      </c>
      <c r="H181" s="412">
        <f>C75</f>
        <v>2392.7400000000007</v>
      </c>
    </row>
    <row r="182" spans="1:8" ht="11.25">
      <c r="A182" s="795" t="s">
        <v>271</v>
      </c>
      <c r="B182" s="796"/>
      <c r="C182" s="329">
        <v>5</v>
      </c>
      <c r="D182" s="329">
        <v>14</v>
      </c>
      <c r="E182" s="329">
        <v>12</v>
      </c>
      <c r="F182" s="348">
        <f>SUM(C182:E182)</f>
        <v>31</v>
      </c>
      <c r="G182" s="429" t="s">
        <v>9</v>
      </c>
      <c r="H182" s="409">
        <f>C76</f>
        <v>2267.9</v>
      </c>
    </row>
    <row r="183" spans="1:8" ht="12" thickBot="1">
      <c r="A183" s="795" t="s">
        <v>269</v>
      </c>
      <c r="B183" s="796"/>
      <c r="C183" s="304">
        <f>C182/$F$182</f>
        <v>0.16129032258064516</v>
      </c>
      <c r="D183" s="304">
        <f>D182/$F$182</f>
        <v>0.45161290322580644</v>
      </c>
      <c r="E183" s="304">
        <f>E182/$F$182</f>
        <v>0.3870967741935484</v>
      </c>
      <c r="F183" s="300">
        <f>SUM(C183:E183)</f>
        <v>1</v>
      </c>
      <c r="G183" s="430" t="s">
        <v>75</v>
      </c>
      <c r="H183" s="415">
        <f>C77</f>
        <v>4441.889199999998</v>
      </c>
    </row>
    <row r="184" spans="1:8" ht="11.25">
      <c r="A184" s="795" t="s">
        <v>270</v>
      </c>
      <c r="B184" s="796"/>
      <c r="C184" s="340">
        <f>$C$181*C183</f>
        <v>148.38709677419354</v>
      </c>
      <c r="D184" s="340">
        <f>$C$181*D183</f>
        <v>415.48387096774195</v>
      </c>
      <c r="E184" s="340">
        <f>$C$181*E183</f>
        <v>356.1290322580645</v>
      </c>
      <c r="F184" s="349">
        <f>SUM(C184:E184)</f>
        <v>920</v>
      </c>
      <c r="G184" s="431"/>
      <c r="H184" s="411">
        <f>H181+H182+H183</f>
        <v>9102.529199999999</v>
      </c>
    </row>
    <row r="185" spans="1:8" ht="11.25">
      <c r="A185" s="530" t="s">
        <v>126</v>
      </c>
      <c r="B185" s="531"/>
      <c r="C185" s="529">
        <f>H17</f>
        <v>980</v>
      </c>
      <c r="D185" s="529"/>
      <c r="E185" s="529"/>
      <c r="F185" s="346"/>
      <c r="G185" s="429" t="s">
        <v>311</v>
      </c>
      <c r="H185" s="409">
        <f>C72+10000</f>
        <v>28752</v>
      </c>
    </row>
    <row r="186" spans="1:8" ht="12" thickBot="1">
      <c r="A186" s="795" t="s">
        <v>272</v>
      </c>
      <c r="B186" s="796"/>
      <c r="C186" s="329">
        <v>2</v>
      </c>
      <c r="D186" s="329">
        <v>5</v>
      </c>
      <c r="E186" s="329">
        <v>4</v>
      </c>
      <c r="F186" s="348">
        <f>SUM(C186:E186)</f>
        <v>11</v>
      </c>
      <c r="G186" s="429"/>
      <c r="H186" s="416">
        <f>H184+H185</f>
        <v>37854.5292</v>
      </c>
    </row>
    <row r="187" spans="1:8" ht="11.25">
      <c r="A187" s="795" t="s">
        <v>78</v>
      </c>
      <c r="B187" s="796"/>
      <c r="C187" s="303">
        <f>C186/$F$186</f>
        <v>0.18181818181818182</v>
      </c>
      <c r="D187" s="303">
        <f>D186/$F$186</f>
        <v>0.45454545454545453</v>
      </c>
      <c r="E187" s="303">
        <f>E186/$F$186</f>
        <v>0.36363636363636365</v>
      </c>
      <c r="F187" s="300"/>
      <c r="G187" s="288" t="s">
        <v>251</v>
      </c>
      <c r="H187" s="412">
        <f>H180</f>
        <v>1708.5291999999974</v>
      </c>
    </row>
    <row r="188" spans="1:8" ht="11.25">
      <c r="A188" s="795" t="s">
        <v>126</v>
      </c>
      <c r="B188" s="796"/>
      <c r="C188" s="340">
        <f>$C$185*C187</f>
        <v>178.1818181818182</v>
      </c>
      <c r="D188" s="340">
        <f>$C$185*D187</f>
        <v>445.45454545454544</v>
      </c>
      <c r="E188" s="340">
        <f>$C$185*E187</f>
        <v>356.3636363636364</v>
      </c>
      <c r="F188" s="349">
        <f>SUM(C188:E188)</f>
        <v>980</v>
      </c>
      <c r="G188" s="289" t="s">
        <v>0</v>
      </c>
      <c r="H188" s="409">
        <f>H176</f>
        <v>753</v>
      </c>
    </row>
    <row r="189" spans="1:8" ht="11.25">
      <c r="A189" s="530" t="s">
        <v>122</v>
      </c>
      <c r="B189" s="531"/>
      <c r="C189" s="529">
        <f>H15</f>
        <v>1300</v>
      </c>
      <c r="D189" s="529"/>
      <c r="E189" s="529"/>
      <c r="F189" s="346"/>
      <c r="G189" s="289" t="s">
        <v>252</v>
      </c>
      <c r="H189" s="409">
        <f>H187+H188</f>
        <v>2461.529199999997</v>
      </c>
    </row>
    <row r="190" spans="1:8" ht="11.25">
      <c r="A190" s="795" t="s">
        <v>79</v>
      </c>
      <c r="B190" s="796"/>
      <c r="C190" s="350">
        <v>0.25</v>
      </c>
      <c r="D190" s="350">
        <v>0.35</v>
      </c>
      <c r="E190" s="350">
        <v>0.4</v>
      </c>
      <c r="F190" s="302">
        <f>SUM(C190:E190)</f>
        <v>1</v>
      </c>
      <c r="G190" s="289" t="s">
        <v>65</v>
      </c>
      <c r="H190" s="409">
        <f>H167</f>
        <v>45358</v>
      </c>
    </row>
    <row r="191" spans="1:8" ht="12" thickBot="1">
      <c r="A191" s="795" t="s">
        <v>122</v>
      </c>
      <c r="B191" s="796"/>
      <c r="C191" s="340">
        <f>$C$189*C190</f>
        <v>325</v>
      </c>
      <c r="D191" s="340">
        <f>$C$189*D190</f>
        <v>454.99999999999994</v>
      </c>
      <c r="E191" s="340">
        <f>$C$189*E190</f>
        <v>520</v>
      </c>
      <c r="F191" s="349">
        <f>SUM(C191:E191)</f>
        <v>1300</v>
      </c>
      <c r="G191" s="432" t="s">
        <v>254</v>
      </c>
      <c r="H191" s="417">
        <f>H189/H190</f>
        <v>0.05426890956391369</v>
      </c>
    </row>
    <row r="192" spans="1:8" ht="11.25">
      <c r="A192" s="530" t="s">
        <v>127</v>
      </c>
      <c r="B192" s="531"/>
      <c r="C192" s="529">
        <f>H18</f>
        <v>830</v>
      </c>
      <c r="D192" s="529"/>
      <c r="E192" s="529"/>
      <c r="F192" s="301"/>
      <c r="G192" s="288" t="s">
        <v>257</v>
      </c>
      <c r="H192" s="412">
        <f>H186</f>
        <v>37854.5292</v>
      </c>
    </row>
    <row r="193" spans="1:8" ht="12" thickBot="1">
      <c r="A193" s="795" t="s">
        <v>84</v>
      </c>
      <c r="B193" s="796"/>
      <c r="C193" s="350">
        <v>0.19</v>
      </c>
      <c r="D193" s="350">
        <v>0.38</v>
      </c>
      <c r="E193" s="350">
        <v>0.43</v>
      </c>
      <c r="F193" s="302">
        <f>SUM(C193:E193)</f>
        <v>1</v>
      </c>
      <c r="G193" s="432" t="s">
        <v>258</v>
      </c>
      <c r="H193" s="418">
        <f>H190/H192</f>
        <v>1.1982185740669575</v>
      </c>
    </row>
    <row r="194" spans="1:8" ht="12" thickBot="1">
      <c r="A194" s="795" t="s">
        <v>273</v>
      </c>
      <c r="B194" s="796"/>
      <c r="C194" s="340">
        <f>$C$192*C193</f>
        <v>157.7</v>
      </c>
      <c r="D194" s="340">
        <f>$C$192*D193</f>
        <v>315.4</v>
      </c>
      <c r="E194" s="340">
        <f>$C$192*E193</f>
        <v>356.9</v>
      </c>
      <c r="F194" s="349">
        <f>SUM(C194:E194)</f>
        <v>830</v>
      </c>
      <c r="G194" s="433" t="s">
        <v>74</v>
      </c>
      <c r="H194" s="434">
        <f>H193*H191</f>
        <v>0.06502601543384133</v>
      </c>
    </row>
    <row r="195" spans="1:6" ht="12" thickBot="1">
      <c r="A195" s="538" t="s">
        <v>274</v>
      </c>
      <c r="B195" s="539"/>
      <c r="C195" s="351">
        <f>C194/C168</f>
        <v>0.646311475409836</v>
      </c>
      <c r="D195" s="351">
        <f>D194/D168</f>
        <v>1.0478405315614616</v>
      </c>
      <c r="E195" s="351">
        <f>E194/E168</f>
        <v>4.248809523809523</v>
      </c>
      <c r="F195" s="352"/>
    </row>
    <row r="196" spans="1:6" ht="11.25">
      <c r="A196" s="533" t="s">
        <v>86</v>
      </c>
      <c r="B196" s="534"/>
      <c r="C196" s="534"/>
      <c r="D196" s="534"/>
      <c r="E196" s="534"/>
      <c r="F196" s="535"/>
    </row>
    <row r="197" spans="1:6" ht="11.25">
      <c r="A197" s="672" t="s">
        <v>275</v>
      </c>
      <c r="B197" s="611"/>
      <c r="C197" s="611"/>
      <c r="D197" s="611"/>
      <c r="E197" s="611"/>
      <c r="F197" s="540"/>
    </row>
    <row r="198" spans="1:6" ht="12" thickBot="1">
      <c r="A198" s="541" t="s">
        <v>276</v>
      </c>
      <c r="B198" s="532"/>
      <c r="C198" s="305">
        <f>F118</f>
        <v>12.263947275042266</v>
      </c>
      <c r="D198" s="305">
        <f>G118</f>
        <v>20.895295038510508</v>
      </c>
      <c r="E198" s="305">
        <f>H118</f>
        <v>24.215750694024088</v>
      </c>
      <c r="F198" s="333">
        <f>C198*C168+D168*D198+E198*E168</f>
        <v>11316.009999999998</v>
      </c>
    </row>
    <row r="199" spans="1:6" ht="12" thickTop="1">
      <c r="A199" s="799" t="s">
        <v>277</v>
      </c>
      <c r="B199" s="671"/>
      <c r="C199" s="793">
        <f>B114</f>
        <v>31096.25</v>
      </c>
      <c r="D199" s="794"/>
      <c r="E199" s="794"/>
      <c r="F199" s="421"/>
    </row>
    <row r="200" spans="1:6" ht="11.25">
      <c r="A200" s="795" t="s">
        <v>278</v>
      </c>
      <c r="B200" s="796"/>
      <c r="C200" s="296">
        <f>C168*C2/$C$57</f>
        <v>0.4015083990401097</v>
      </c>
      <c r="D200" s="296">
        <f>D168*C3/$C$57</f>
        <v>0.4746657524854302</v>
      </c>
      <c r="E200" s="296">
        <f>E168*C4/$C$57</f>
        <v>0.12382584847446006</v>
      </c>
      <c r="F200" s="422">
        <f>SUM(C200:E200)</f>
        <v>1</v>
      </c>
    </row>
    <row r="201" spans="1:6" ht="11.25">
      <c r="A201" s="795" t="s">
        <v>279</v>
      </c>
      <c r="B201" s="796"/>
      <c r="C201" s="340">
        <f>$C$199*C200</f>
        <v>12485.405553651011</v>
      </c>
      <c r="D201" s="340">
        <f>$C$199*D200</f>
        <v>14760.324905725058</v>
      </c>
      <c r="E201" s="340">
        <f>$C$199*E200</f>
        <v>3850.5195406239286</v>
      </c>
      <c r="F201" s="423">
        <f>SUM(C201:E201)</f>
        <v>31096.25</v>
      </c>
    </row>
    <row r="202" spans="1:6" ht="12" thickBot="1">
      <c r="A202" s="797" t="s">
        <v>280</v>
      </c>
      <c r="B202" s="798"/>
      <c r="C202" s="355">
        <f>C201/C168</f>
        <v>51.169694892012345</v>
      </c>
      <c r="D202" s="355">
        <f>D201/D168</f>
        <v>49.03762427151182</v>
      </c>
      <c r="E202" s="355">
        <f>E201/E168</f>
        <v>45.83951834076105</v>
      </c>
      <c r="F202" s="356"/>
    </row>
    <row r="203" spans="1:6" ht="11.25">
      <c r="A203" s="799" t="s">
        <v>150</v>
      </c>
      <c r="B203" s="671"/>
      <c r="C203" s="357">
        <f>C202+C198</f>
        <v>63.433642167054614</v>
      </c>
      <c r="D203" s="357">
        <f>D202+D198</f>
        <v>69.93291931002233</v>
      </c>
      <c r="E203" s="357">
        <f>E202+E198</f>
        <v>70.05526903478514</v>
      </c>
      <c r="F203" s="374"/>
    </row>
    <row r="204" spans="1:6" ht="12" thickBot="1">
      <c r="A204" s="538" t="s">
        <v>80</v>
      </c>
      <c r="B204" s="539"/>
      <c r="C204" s="369">
        <f>(C$169-C203)/C$169</f>
        <v>0.47575502341277176</v>
      </c>
      <c r="D204" s="369">
        <f>(D$169-D203)/D$169</f>
        <v>-1.3310973103340775</v>
      </c>
      <c r="E204" s="369">
        <f>(E$169-E203)/E$169</f>
        <v>0.13512013537302295</v>
      </c>
      <c r="F204" s="375"/>
    </row>
    <row r="205" spans="1:6" ht="12" thickBot="1">
      <c r="A205" s="860" t="s">
        <v>87</v>
      </c>
      <c r="B205" s="861"/>
      <c r="C205" s="861"/>
      <c r="D205" s="861"/>
      <c r="E205" s="861"/>
      <c r="F205" s="862"/>
    </row>
    <row r="206" spans="1:6" ht="11.25">
      <c r="A206" s="799" t="s">
        <v>35</v>
      </c>
      <c r="B206" s="671"/>
      <c r="C206" s="357">
        <f>C175</f>
        <v>5.953947275042267</v>
      </c>
      <c r="D206" s="357">
        <f>D175</f>
        <v>13.505295038510509</v>
      </c>
      <c r="E206" s="357">
        <f>E175</f>
        <v>17.135750694024086</v>
      </c>
      <c r="F206" s="358"/>
    </row>
    <row r="207" spans="1:6" ht="11.25">
      <c r="A207" s="795" t="s">
        <v>282</v>
      </c>
      <c r="B207" s="796"/>
      <c r="C207" s="340">
        <f>C206*C168</f>
        <v>1452.763135110313</v>
      </c>
      <c r="D207" s="340">
        <f>D206*D168</f>
        <v>4065.093806591663</v>
      </c>
      <c r="E207" s="340">
        <f>E206*E168</f>
        <v>1439.4030582980233</v>
      </c>
      <c r="F207" s="349">
        <f>SUM(C207:E207)</f>
        <v>6957.259999999999</v>
      </c>
    </row>
    <row r="208" spans="1:6" ht="11.25">
      <c r="A208" s="795" t="s">
        <v>270</v>
      </c>
      <c r="B208" s="796"/>
      <c r="C208" s="529">
        <f>C181</f>
        <v>920</v>
      </c>
      <c r="D208" s="863"/>
      <c r="E208" s="863"/>
      <c r="F208" s="373"/>
    </row>
    <row r="209" spans="1:6" ht="11.25">
      <c r="A209" s="795" t="s">
        <v>280</v>
      </c>
      <c r="B209" s="796"/>
      <c r="C209" s="864">
        <f>C208/F207</f>
        <v>0.13223596645805966</v>
      </c>
      <c r="D209" s="864"/>
      <c r="E209" s="864"/>
      <c r="F209" s="376"/>
    </row>
    <row r="210" spans="1:6" ht="11.25">
      <c r="A210" s="795" t="s">
        <v>270</v>
      </c>
      <c r="B210" s="796"/>
      <c r="C210" s="340">
        <f>C207*$C$209</f>
        <v>192.10753720595292</v>
      </c>
      <c r="D210" s="340">
        <f>D207*$C$209</f>
        <v>537.5516082573212</v>
      </c>
      <c r="E210" s="340">
        <f>E207*$C$209</f>
        <v>190.3408545367259</v>
      </c>
      <c r="F210" s="377"/>
    </row>
    <row r="211" spans="1:6" ht="12" thickBot="1">
      <c r="A211" s="797" t="s">
        <v>283</v>
      </c>
      <c r="B211" s="798"/>
      <c r="C211" s="355">
        <f>C210/C168</f>
        <v>0.7873259721555448</v>
      </c>
      <c r="D211" s="355">
        <f>D210/D168</f>
        <v>1.7858857417186749</v>
      </c>
      <c r="E211" s="355">
        <f>E210/E168</f>
        <v>2.2659625540086417</v>
      </c>
      <c r="F211" s="354">
        <f>C211*C168+D168*D211+E211*E168</f>
        <v>920</v>
      </c>
    </row>
    <row r="212" spans="1:6" ht="11.25">
      <c r="A212" s="799" t="s">
        <v>103</v>
      </c>
      <c r="B212" s="671"/>
      <c r="C212" s="357">
        <f>B6</f>
        <v>1.1</v>
      </c>
      <c r="D212" s="357">
        <f>B7</f>
        <v>2.4</v>
      </c>
      <c r="E212" s="357">
        <f>B8</f>
        <v>2.3</v>
      </c>
      <c r="F212" s="362"/>
    </row>
    <row r="213" spans="1:6" ht="11.25">
      <c r="A213" s="795" t="s">
        <v>105</v>
      </c>
      <c r="B213" s="796"/>
      <c r="C213" s="360">
        <f>D6</f>
        <v>0.41</v>
      </c>
      <c r="D213" s="360">
        <f>D7</f>
        <v>0.39</v>
      </c>
      <c r="E213" s="360">
        <f>D8</f>
        <v>0.48</v>
      </c>
      <c r="F213" s="349"/>
    </row>
    <row r="214" spans="1:7" ht="11.25">
      <c r="A214" s="795" t="s">
        <v>285</v>
      </c>
      <c r="B214" s="796"/>
      <c r="C214" s="360">
        <f>C2</f>
        <v>4.8</v>
      </c>
      <c r="D214" s="360">
        <f>C3</f>
        <v>4.6</v>
      </c>
      <c r="E214" s="360">
        <f>C4</f>
        <v>4.3</v>
      </c>
      <c r="F214" s="378"/>
      <c r="G214" s="359"/>
    </row>
    <row r="215" spans="1:7" ht="11.25">
      <c r="A215" s="795" t="s">
        <v>277</v>
      </c>
      <c r="B215" s="796"/>
      <c r="C215" s="865">
        <f>B114-H16-H18-C62</f>
        <v>23902.25</v>
      </c>
      <c r="D215" s="611"/>
      <c r="E215" s="611"/>
      <c r="F215" s="379"/>
      <c r="G215" s="359"/>
    </row>
    <row r="216" spans="1:7" ht="11.25">
      <c r="A216" s="795" t="s">
        <v>287</v>
      </c>
      <c r="B216" s="796"/>
      <c r="C216" s="864">
        <f>C215/C92</f>
        <v>8.194120671923208</v>
      </c>
      <c r="D216" s="864"/>
      <c r="E216" s="864"/>
      <c r="F216" s="380"/>
      <c r="G216" s="353"/>
    </row>
    <row r="217" spans="1:7" ht="11.25">
      <c r="A217" s="795" t="s">
        <v>288</v>
      </c>
      <c r="B217" s="796"/>
      <c r="C217" s="360">
        <f>C214*$C$216</f>
        <v>39.3317792252314</v>
      </c>
      <c r="D217" s="360">
        <f>D214*$C$216</f>
        <v>37.69295509084676</v>
      </c>
      <c r="E217" s="360">
        <f>E214*$C$216</f>
        <v>35.23471888926979</v>
      </c>
      <c r="F217" s="349">
        <f>C217*C168+D168*D217+E217*E168</f>
        <v>23902.249999999996</v>
      </c>
      <c r="G217" s="353"/>
    </row>
    <row r="218" spans="1:6" ht="11.25">
      <c r="A218" s="795" t="s">
        <v>286</v>
      </c>
      <c r="B218" s="796"/>
      <c r="C218" s="529">
        <f>C62</f>
        <v>5444</v>
      </c>
      <c r="D218" s="863"/>
      <c r="E218" s="863"/>
      <c r="F218" s="381"/>
    </row>
    <row r="219" spans="1:7" ht="11.25">
      <c r="A219" s="795" t="s">
        <v>289</v>
      </c>
      <c r="B219" s="796"/>
      <c r="C219" s="341">
        <f>C177</f>
        <v>0.43893442622950823</v>
      </c>
      <c r="D219" s="341">
        <f>D177</f>
        <v>0.35581395348837214</v>
      </c>
      <c r="E219" s="341">
        <f>E177</f>
        <v>1.275</v>
      </c>
      <c r="F219" s="382"/>
      <c r="G219" s="353"/>
    </row>
    <row r="220" spans="1:7" ht="11.25">
      <c r="A220" s="795" t="s">
        <v>88</v>
      </c>
      <c r="B220" s="796"/>
      <c r="C220" s="104">
        <f>D38</f>
        <v>13.6</v>
      </c>
      <c r="D220" s="104">
        <f>D39</f>
        <v>5.8</v>
      </c>
      <c r="E220" s="104">
        <f>D40</f>
        <v>4.2</v>
      </c>
      <c r="F220" s="382"/>
      <c r="G220" s="353"/>
    </row>
    <row r="221" spans="1:7" ht="11.25">
      <c r="A221" s="795" t="s">
        <v>89</v>
      </c>
      <c r="B221" s="796"/>
      <c r="C221" s="388">
        <f>C220*1000</f>
        <v>13600</v>
      </c>
      <c r="D221" s="388">
        <f>D220*1000</f>
        <v>5800</v>
      </c>
      <c r="E221" s="388">
        <f>E220*1000</f>
        <v>4200</v>
      </c>
      <c r="F221" s="382"/>
      <c r="G221" s="353"/>
    </row>
    <row r="222" spans="1:6" ht="11.25">
      <c r="A222" s="795"/>
      <c r="B222" s="796"/>
      <c r="C222" s="360">
        <f>$C$218/C168*1000</f>
        <v>22311.475409836068</v>
      </c>
      <c r="D222" s="360">
        <f>$C$218/D168*1000</f>
        <v>18086.37873754153</v>
      </c>
      <c r="E222" s="360">
        <f>$C$218/E168*1000</f>
        <v>64809.52380952381</v>
      </c>
      <c r="F222" s="382"/>
    </row>
    <row r="223" spans="1:6" ht="11.25">
      <c r="A223" s="795" t="s">
        <v>291</v>
      </c>
      <c r="B223" s="796"/>
      <c r="C223" s="361">
        <f>F38</f>
        <v>18</v>
      </c>
      <c r="D223" s="361">
        <f>F39</f>
        <v>52</v>
      </c>
      <c r="E223" s="361">
        <f>F40</f>
        <v>20</v>
      </c>
      <c r="F223" s="383"/>
    </row>
    <row r="224" spans="1:6" ht="12" thickBot="1">
      <c r="A224" s="797" t="s">
        <v>290</v>
      </c>
      <c r="B224" s="798"/>
      <c r="C224" s="384">
        <f>1/(C168/C223/$F$114)*($C$218/$F$114/($A$49+$F$41))</f>
        <v>4.462295081967213</v>
      </c>
      <c r="D224" s="384">
        <f>1/(D168/D223/$F$114)*($C$218/$F$114/($A$49+$F$41))</f>
        <v>10.449907715023993</v>
      </c>
      <c r="E224" s="384">
        <f>1/(E168/E223/$F$114)*($C$218/$F$114/($A$49+$F$41))</f>
        <v>14.402116402116398</v>
      </c>
      <c r="F224" s="354">
        <f>C224*$C$168+$D$168*D224+E224*$E$168</f>
        <v>5443.999999999999</v>
      </c>
    </row>
    <row r="225" spans="1:6" ht="11.25">
      <c r="A225" s="799" t="s">
        <v>85</v>
      </c>
      <c r="B225" s="671"/>
      <c r="C225" s="357">
        <f>C206+C211+C212+C213+C195+C214+C217+C224</f>
        <v>57.49165902980626</v>
      </c>
      <c r="D225" s="357">
        <f>D206+D211+D212+D213+D195+D214+D217+D224</f>
        <v>71.8718841176614</v>
      </c>
      <c r="E225" s="357">
        <f>E206+E211+E212+E213+E195+E214+E217+E224</f>
        <v>80.36735806322844</v>
      </c>
      <c r="F225" s="374"/>
    </row>
    <row r="226" spans="1:6" ht="12" thickBot="1">
      <c r="A226" s="538" t="s">
        <v>80</v>
      </c>
      <c r="B226" s="539"/>
      <c r="C226" s="369">
        <f>(C169-C225)/C169</f>
        <v>0.5248623220677169</v>
      </c>
      <c r="D226" s="369">
        <f>(D169-D225)/D169</f>
        <v>-1.395729470588713</v>
      </c>
      <c r="E226" s="369">
        <f>(E169-E225)/E169</f>
        <v>0.007810394281130407</v>
      </c>
      <c r="F226" s="385"/>
    </row>
    <row r="227" spans="1:6" ht="12" thickBot="1">
      <c r="A227" s="878" t="s">
        <v>81</v>
      </c>
      <c r="B227" s="879"/>
      <c r="C227" s="879"/>
      <c r="D227" s="879"/>
      <c r="E227" s="879"/>
      <c r="F227" s="880"/>
    </row>
    <row r="228" spans="1:6" ht="11.25">
      <c r="A228" s="536" t="s">
        <v>293</v>
      </c>
      <c r="B228" s="537"/>
      <c r="C228" s="424">
        <f>C206</f>
        <v>5.953947275042267</v>
      </c>
      <c r="D228" s="424">
        <f>D206</f>
        <v>13.505295038510509</v>
      </c>
      <c r="E228" s="424">
        <f>E206</f>
        <v>17.135750694024086</v>
      </c>
      <c r="F228" s="364">
        <f>C228*$C$168+$D$168*D228+E228*$E$168</f>
        <v>6957.259999999999</v>
      </c>
    </row>
    <row r="229" spans="1:6" ht="11.25">
      <c r="A229" s="795" t="s">
        <v>294</v>
      </c>
      <c r="B229" s="796"/>
      <c r="C229" s="368">
        <f>C214</f>
        <v>4.8</v>
      </c>
      <c r="D229" s="368">
        <f>D214</f>
        <v>4.6</v>
      </c>
      <c r="E229" s="368">
        <f>E214</f>
        <v>4.3</v>
      </c>
      <c r="F229" s="354">
        <f aca="true" t="shared" si="3" ref="F229:F237">C229*$C$168+$D$168*D229+E229*$E$168</f>
        <v>2917</v>
      </c>
    </row>
    <row r="230" spans="1:6" ht="11.25">
      <c r="A230" s="795" t="s">
        <v>103</v>
      </c>
      <c r="B230" s="796"/>
      <c r="C230" s="368">
        <f aca="true" t="shared" si="4" ref="C230:E231">C212</f>
        <v>1.1</v>
      </c>
      <c r="D230" s="368">
        <f t="shared" si="4"/>
        <v>2.4</v>
      </c>
      <c r="E230" s="368">
        <f t="shared" si="4"/>
        <v>2.3</v>
      </c>
      <c r="F230" s="354">
        <f t="shared" si="3"/>
        <v>1184</v>
      </c>
    </row>
    <row r="231" spans="1:6" ht="11.25">
      <c r="A231" s="795" t="s">
        <v>105</v>
      </c>
      <c r="B231" s="796"/>
      <c r="C231" s="368">
        <f t="shared" si="4"/>
        <v>0.41</v>
      </c>
      <c r="D231" s="368">
        <f t="shared" si="4"/>
        <v>0.39</v>
      </c>
      <c r="E231" s="368">
        <f t="shared" si="4"/>
        <v>0.48</v>
      </c>
      <c r="F231" s="354">
        <f t="shared" si="3"/>
        <v>257.75</v>
      </c>
    </row>
    <row r="232" spans="1:6" ht="11.25">
      <c r="A232" s="795" t="s">
        <v>284</v>
      </c>
      <c r="B232" s="796"/>
      <c r="C232" s="368">
        <f>C195</f>
        <v>0.646311475409836</v>
      </c>
      <c r="D232" s="368">
        <f>D195</f>
        <v>1.0478405315614616</v>
      </c>
      <c r="E232" s="368">
        <f>E195</f>
        <v>4.248809523809523</v>
      </c>
      <c r="F232" s="354">
        <f t="shared" si="3"/>
        <v>829.9999999999999</v>
      </c>
    </row>
    <row r="233" spans="1:6" ht="11.25">
      <c r="A233" s="795" t="s">
        <v>295</v>
      </c>
      <c r="B233" s="796"/>
      <c r="C233" s="867">
        <f>C62*1000/F114/(A49+F41)</f>
        <v>33.887332710862125</v>
      </c>
      <c r="D233" s="868"/>
      <c r="E233" s="868"/>
      <c r="F233" s="363"/>
    </row>
    <row r="234" spans="1:6" ht="11.25">
      <c r="A234" s="795" t="s">
        <v>290</v>
      </c>
      <c r="B234" s="796"/>
      <c r="C234" s="368">
        <f>C224</f>
        <v>4.462295081967213</v>
      </c>
      <c r="D234" s="368">
        <f>D224</f>
        <v>10.449907715023993</v>
      </c>
      <c r="E234" s="368">
        <f>E224</f>
        <v>14.402116402116398</v>
      </c>
      <c r="F234" s="354">
        <f t="shared" si="3"/>
        <v>5443.999999999999</v>
      </c>
    </row>
    <row r="235" spans="1:6" ht="11.25">
      <c r="A235" s="795" t="s">
        <v>296</v>
      </c>
      <c r="B235" s="796"/>
      <c r="C235" s="368">
        <f>C211</f>
        <v>0.7873259721555448</v>
      </c>
      <c r="D235" s="368">
        <f>D211</f>
        <v>1.7858857417186749</v>
      </c>
      <c r="E235" s="368">
        <f>E211</f>
        <v>2.2659625540086417</v>
      </c>
      <c r="F235" s="354">
        <f t="shared" si="3"/>
        <v>920</v>
      </c>
    </row>
    <row r="236" spans="1:6" ht="11.25">
      <c r="A236" s="795" t="s">
        <v>297</v>
      </c>
      <c r="B236" s="796"/>
      <c r="C236" s="368">
        <f>C191/C168</f>
        <v>1.3319672131147542</v>
      </c>
      <c r="D236" s="368">
        <f>D191/D168</f>
        <v>1.511627906976744</v>
      </c>
      <c r="E236" s="368">
        <f>E191/E168</f>
        <v>6.190476190476191</v>
      </c>
      <c r="F236" s="354">
        <f t="shared" si="3"/>
        <v>1300</v>
      </c>
    </row>
    <row r="237" spans="1:6" ht="11.25">
      <c r="A237" s="795" t="s">
        <v>298</v>
      </c>
      <c r="B237" s="796"/>
      <c r="C237" s="368">
        <f>C188/C168</f>
        <v>0.730253353204173</v>
      </c>
      <c r="D237" s="368">
        <f>D188/D168</f>
        <v>1.4799154334038054</v>
      </c>
      <c r="E237" s="368">
        <f>E188/E168</f>
        <v>4.242424242424242</v>
      </c>
      <c r="F237" s="354">
        <f t="shared" si="3"/>
        <v>980</v>
      </c>
    </row>
    <row r="238" spans="1:6" ht="11.25">
      <c r="A238" s="795" t="s">
        <v>73</v>
      </c>
      <c r="B238" s="796"/>
      <c r="C238" s="869">
        <f>F207</f>
        <v>6957.259999999999</v>
      </c>
      <c r="D238" s="868"/>
      <c r="E238" s="868"/>
      <c r="F238" s="363"/>
    </row>
    <row r="239" spans="1:6" ht="11.25">
      <c r="A239" s="795" t="s">
        <v>277</v>
      </c>
      <c r="B239" s="796"/>
      <c r="C239" s="869">
        <f>B114-H15-H16-H17-H18-C62</f>
        <v>21622.25</v>
      </c>
      <c r="D239" s="868"/>
      <c r="E239" s="868"/>
      <c r="F239" s="386"/>
    </row>
    <row r="240" spans="1:6" ht="12" thickBot="1">
      <c r="A240" s="538" t="s">
        <v>299</v>
      </c>
      <c r="B240" s="539"/>
      <c r="C240" s="866">
        <f>C239/C238</f>
        <v>3.1078686149432393</v>
      </c>
      <c r="D240" s="866"/>
      <c r="E240" s="866"/>
      <c r="F240" s="387"/>
    </row>
    <row r="241" spans="1:6" ht="12" thickBot="1">
      <c r="A241" s="870" t="s">
        <v>300</v>
      </c>
      <c r="B241" s="871"/>
      <c r="C241" s="367">
        <f>C228*$C$240</f>
        <v>18.504085871130684</v>
      </c>
      <c r="D241" s="367">
        <f>D228*$C$240</f>
        <v>41.972682585735456</v>
      </c>
      <c r="E241" s="367">
        <f>E228*$C$240</f>
        <v>53.25566177544929</v>
      </c>
      <c r="F241" s="354">
        <f>C241*$C$168+$D$168*D241+E241*$E$168</f>
        <v>21622.25</v>
      </c>
    </row>
    <row r="242" spans="1:6" ht="11.25">
      <c r="A242" s="799" t="s">
        <v>281</v>
      </c>
      <c r="B242" s="671"/>
      <c r="C242" s="365">
        <f>SUM(C228:C232,C234:C237,C241)</f>
        <v>38.72618624202447</v>
      </c>
      <c r="D242" s="365">
        <f>SUM(D228:D232,D234:D237,D241)</f>
        <v>79.14315495293064</v>
      </c>
      <c r="E242" s="365">
        <f>SUM(E228:E232,E234:E237,E241)</f>
        <v>108.82120138230837</v>
      </c>
      <c r="F242" s="354">
        <f>C242*$C$168+$D$168*D242+E242*$E$168</f>
        <v>42412.26</v>
      </c>
    </row>
    <row r="243" spans="1:6" ht="12" thickBot="1">
      <c r="A243" s="538" t="s">
        <v>80</v>
      </c>
      <c r="B243" s="539"/>
      <c r="C243" s="369">
        <f>(C169-C242)/C169</f>
        <v>0.6799488740328556</v>
      </c>
      <c r="D243" s="369">
        <f>(D169-D242)/D169</f>
        <v>-1.638105165097688</v>
      </c>
      <c r="E243" s="369">
        <f>(E169-E242)/E169</f>
        <v>-0.3434716220038071</v>
      </c>
      <c r="F243" s="366"/>
    </row>
  </sheetData>
  <mergeCells count="170">
    <mergeCell ref="A197:F197"/>
    <mergeCell ref="A198:B198"/>
    <mergeCell ref="A196:F196"/>
    <mergeCell ref="C199:E199"/>
    <mergeCell ref="A199:B199"/>
    <mergeCell ref="A195:B195"/>
    <mergeCell ref="C181:E181"/>
    <mergeCell ref="C185:E185"/>
    <mergeCell ref="C189:E189"/>
    <mergeCell ref="C192:E192"/>
    <mergeCell ref="A191:B191"/>
    <mergeCell ref="A192:B192"/>
    <mergeCell ref="A193:B193"/>
    <mergeCell ref="A194:B194"/>
    <mergeCell ref="A187:B187"/>
    <mergeCell ref="A189:B189"/>
    <mergeCell ref="A190:B190"/>
    <mergeCell ref="A183:B183"/>
    <mergeCell ref="A184:B184"/>
    <mergeCell ref="A185:B185"/>
    <mergeCell ref="A186:B186"/>
    <mergeCell ref="A180:B180"/>
    <mergeCell ref="A181:B181"/>
    <mergeCell ref="A182:B182"/>
    <mergeCell ref="A188:B188"/>
    <mergeCell ref="A176:B176"/>
    <mergeCell ref="A177:B177"/>
    <mergeCell ref="A178:B178"/>
    <mergeCell ref="A179:B179"/>
    <mergeCell ref="G166:H166"/>
    <mergeCell ref="C179:E179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55:E155"/>
    <mergeCell ref="A129:E129"/>
    <mergeCell ref="A135:B135"/>
    <mergeCell ref="A136:B136"/>
    <mergeCell ref="A137:E137"/>
    <mergeCell ref="A148:E148"/>
    <mergeCell ref="D15:E15"/>
    <mergeCell ref="D10:F10"/>
    <mergeCell ref="A17:B17"/>
    <mergeCell ref="A18:B18"/>
    <mergeCell ref="D17:F17"/>
    <mergeCell ref="D18:E18"/>
    <mergeCell ref="A22:B22"/>
    <mergeCell ref="A25:B25"/>
    <mergeCell ref="A23:B23"/>
    <mergeCell ref="A24:B24"/>
    <mergeCell ref="A19:B19"/>
    <mergeCell ref="A10:C10"/>
    <mergeCell ref="D12:E12"/>
    <mergeCell ref="D13:E13"/>
    <mergeCell ref="A11:C11"/>
    <mergeCell ref="A13:B13"/>
    <mergeCell ref="D11:F11"/>
    <mergeCell ref="A12:B12"/>
    <mergeCell ref="D14:E14"/>
    <mergeCell ref="A16:C16"/>
    <mergeCell ref="A68:C68"/>
    <mergeCell ref="A69:C69"/>
    <mergeCell ref="A57:B57"/>
    <mergeCell ref="A58:B58"/>
    <mergeCell ref="A65:B65"/>
    <mergeCell ref="A66:B66"/>
    <mergeCell ref="D19:E19"/>
    <mergeCell ref="A37:F37"/>
    <mergeCell ref="A88:B88"/>
    <mergeCell ref="G44:G45"/>
    <mergeCell ref="G33:H33"/>
    <mergeCell ref="C28:E28"/>
    <mergeCell ref="A81:B81"/>
    <mergeCell ref="A62:B62"/>
    <mergeCell ref="A63:B63"/>
    <mergeCell ref="A64:B64"/>
    <mergeCell ref="A87:B87"/>
    <mergeCell ref="E33:F33"/>
    <mergeCell ref="A55:B55"/>
    <mergeCell ref="A56:B56"/>
    <mergeCell ref="A59:B59"/>
    <mergeCell ref="A60:B60"/>
    <mergeCell ref="A77:B77"/>
    <mergeCell ref="A42:F42"/>
    <mergeCell ref="A50:D50"/>
    <mergeCell ref="A74:C74"/>
    <mergeCell ref="A83:B83"/>
    <mergeCell ref="A84:B84"/>
    <mergeCell ref="A85:B85"/>
    <mergeCell ref="E51:G51"/>
    <mergeCell ref="A82:B82"/>
    <mergeCell ref="A54:B54"/>
    <mergeCell ref="A70:B70"/>
    <mergeCell ref="A61:B61"/>
    <mergeCell ref="A67:B67"/>
    <mergeCell ref="A71:B71"/>
    <mergeCell ref="A167:B167"/>
    <mergeCell ref="A166:F166"/>
    <mergeCell ref="G1:H1"/>
    <mergeCell ref="C26:E26"/>
    <mergeCell ref="F102:H102"/>
    <mergeCell ref="C27:E27"/>
    <mergeCell ref="C29:E29"/>
    <mergeCell ref="C30:E30"/>
    <mergeCell ref="A76:B76"/>
    <mergeCell ref="A75:B75"/>
    <mergeCell ref="A200:B200"/>
    <mergeCell ref="A201:B201"/>
    <mergeCell ref="A202:B202"/>
    <mergeCell ref="A203:B203"/>
    <mergeCell ref="A204:B204"/>
    <mergeCell ref="A205:F205"/>
    <mergeCell ref="C208:E208"/>
    <mergeCell ref="C209:E209"/>
    <mergeCell ref="A206:B206"/>
    <mergeCell ref="A207:B207"/>
    <mergeCell ref="A208:B208"/>
    <mergeCell ref="A209:B209"/>
    <mergeCell ref="C216:E216"/>
    <mergeCell ref="C218:E218"/>
    <mergeCell ref="A210:B210"/>
    <mergeCell ref="A211:B211"/>
    <mergeCell ref="A212:B212"/>
    <mergeCell ref="A213:B213"/>
    <mergeCell ref="A214:B214"/>
    <mergeCell ref="C215:E215"/>
    <mergeCell ref="A218:B218"/>
    <mergeCell ref="A219:B219"/>
    <mergeCell ref="A215:B215"/>
    <mergeCell ref="A216:B216"/>
    <mergeCell ref="A217:B217"/>
    <mergeCell ref="A220:B220"/>
    <mergeCell ref="A221:B221"/>
    <mergeCell ref="A222:B222"/>
    <mergeCell ref="A223:B223"/>
    <mergeCell ref="C240:E240"/>
    <mergeCell ref="A224:B224"/>
    <mergeCell ref="A225:B225"/>
    <mergeCell ref="A226:B226"/>
    <mergeCell ref="A227:F227"/>
    <mergeCell ref="A236:B236"/>
    <mergeCell ref="C233:E233"/>
    <mergeCell ref="C238:E238"/>
    <mergeCell ref="C239:E239"/>
    <mergeCell ref="A232:B232"/>
    <mergeCell ref="A233:B233"/>
    <mergeCell ref="A234:B234"/>
    <mergeCell ref="A235:B235"/>
    <mergeCell ref="A228:B228"/>
    <mergeCell ref="A229:B229"/>
    <mergeCell ref="A230:B230"/>
    <mergeCell ref="A231:B231"/>
    <mergeCell ref="A241:B241"/>
    <mergeCell ref="A242:B242"/>
    <mergeCell ref="A243:B243"/>
    <mergeCell ref="A237:B237"/>
    <mergeCell ref="A238:B238"/>
    <mergeCell ref="A239:B239"/>
    <mergeCell ref="A240:B240"/>
    <mergeCell ref="E112:H112"/>
    <mergeCell ref="D89:E89"/>
    <mergeCell ref="A100:F100"/>
    <mergeCell ref="F129:H129"/>
    <mergeCell ref="A99:B99"/>
    <mergeCell ref="G90:H90"/>
  </mergeCells>
  <printOptions/>
  <pageMargins left="0.75" right="0.3" top="0.51" bottom="0.81" header="0.23" footer="0.16"/>
  <pageSetup fitToHeight="4" horizontalDpi="300" verticalDpi="300" orientation="portrait" paperSize="9" scale="91" r:id="rId2"/>
  <headerFooter alignWithMargins="0">
    <oddHeader>&amp;L&amp;"Arial,Fett"&amp;12GESAMTPLAN&amp;RAufgabe vom 18.05.99</oddHeader>
  </headerFooter>
  <rowBreaks count="3" manualBreakCount="3">
    <brk id="67" max="7" man="1"/>
    <brk id="128" max="7" man="1"/>
    <brk id="195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1111211"/>
  <dimension ref="A1:N155"/>
  <sheetViews>
    <sheetView showFormulas="1" tabSelected="1" zoomScale="75" zoomScaleNormal="75" zoomScaleSheetLayoutView="25" workbookViewId="0" topLeftCell="F1">
      <selection activeCell="G14" sqref="G14"/>
    </sheetView>
  </sheetViews>
  <sheetFormatPr defaultColWidth="11.421875" defaultRowHeight="12.75"/>
  <cols>
    <col min="1" max="1" width="2.7109375" style="525" customWidth="1"/>
    <col min="2" max="2" width="12.00390625" style="437" bestFit="1" customWidth="1"/>
    <col min="3" max="3" width="13.421875" style="437" bestFit="1" customWidth="1"/>
    <col min="4" max="4" width="22.28125" style="437" bestFit="1" customWidth="1"/>
    <col min="5" max="5" width="15.421875" style="437" bestFit="1" customWidth="1"/>
    <col min="6" max="6" width="13.7109375" style="437" bestFit="1" customWidth="1"/>
    <col min="7" max="7" width="29.00390625" style="437" bestFit="1" customWidth="1"/>
    <col min="8" max="8" width="12.28125" style="437" bestFit="1" customWidth="1"/>
    <col min="9" max="9" width="11.00390625" style="437" bestFit="1" customWidth="1"/>
    <col min="10" max="16384" width="11.421875" style="437" customWidth="1"/>
  </cols>
  <sheetData>
    <row r="1" spans="1:9" ht="16.5" thickBot="1">
      <c r="A1" s="435"/>
      <c r="B1" s="543" t="s">
        <v>339</v>
      </c>
      <c r="C1" s="543" t="s">
        <v>340</v>
      </c>
      <c r="D1" s="543" t="s">
        <v>341</v>
      </c>
      <c r="E1" s="543" t="s">
        <v>339</v>
      </c>
      <c r="F1" s="543" t="s">
        <v>340</v>
      </c>
      <c r="G1" s="543" t="s">
        <v>341</v>
      </c>
      <c r="H1" s="543" t="s">
        <v>339</v>
      </c>
      <c r="I1" s="543" t="s">
        <v>340</v>
      </c>
    </row>
    <row r="2" spans="1:9" ht="15.75">
      <c r="A2" s="586">
        <v>2</v>
      </c>
      <c r="B2" s="587"/>
      <c r="C2" s="588" t="s">
        <v>334</v>
      </c>
      <c r="D2" s="588" t="s">
        <v>331</v>
      </c>
      <c r="E2" s="588" t="s">
        <v>332</v>
      </c>
      <c r="F2" s="588" t="s">
        <v>93</v>
      </c>
      <c r="G2" s="589" t="s">
        <v>94</v>
      </c>
      <c r="H2" s="894" t="s">
        <v>95</v>
      </c>
      <c r="I2" s="896"/>
    </row>
    <row r="3" spans="1:9" ht="15.75">
      <c r="A3" s="569">
        <v>3</v>
      </c>
      <c r="B3" s="590" t="s">
        <v>96</v>
      </c>
      <c r="C3" s="438">
        <v>4.1</v>
      </c>
      <c r="D3" s="439">
        <v>4.8</v>
      </c>
      <c r="E3" s="440">
        <v>244</v>
      </c>
      <c r="F3" s="439">
        <v>121</v>
      </c>
      <c r="G3" s="591">
        <f>E3*F3</f>
        <v>29524</v>
      </c>
      <c r="H3" s="544" t="s">
        <v>122</v>
      </c>
      <c r="I3" s="545">
        <v>1300</v>
      </c>
    </row>
    <row r="4" spans="1:9" ht="15.75">
      <c r="A4" s="569">
        <v>4</v>
      </c>
      <c r="B4" s="590"/>
      <c r="C4" s="441" t="s">
        <v>102</v>
      </c>
      <c r="D4" s="441" t="s">
        <v>103</v>
      </c>
      <c r="E4" s="441" t="s">
        <v>104</v>
      </c>
      <c r="F4" s="442" t="s">
        <v>105</v>
      </c>
      <c r="G4" s="592" t="s">
        <v>106</v>
      </c>
      <c r="H4" s="546" t="s">
        <v>124</v>
      </c>
      <c r="I4" s="547">
        <v>920</v>
      </c>
    </row>
    <row r="5" spans="1:9" ht="15.75">
      <c r="A5" s="569">
        <v>5</v>
      </c>
      <c r="B5" s="590" t="s">
        <v>96</v>
      </c>
      <c r="C5" s="439">
        <v>1.1</v>
      </c>
      <c r="D5" s="443">
        <f>C5*E3</f>
        <v>268.40000000000003</v>
      </c>
      <c r="E5" s="439">
        <v>0.41</v>
      </c>
      <c r="F5" s="443">
        <f>E5*E3</f>
        <v>100.03999999999999</v>
      </c>
      <c r="G5" s="593">
        <v>0.42</v>
      </c>
      <c r="H5" s="546" t="s">
        <v>126</v>
      </c>
      <c r="I5" s="547">
        <v>980</v>
      </c>
    </row>
    <row r="6" spans="1:9" ht="16.5" thickBot="1">
      <c r="A6" s="569">
        <v>6</v>
      </c>
      <c r="B6" s="594"/>
      <c r="C6" s="595"/>
      <c r="D6" s="596">
        <f>SUM(D5:D5)</f>
        <v>268.40000000000003</v>
      </c>
      <c r="E6" s="595"/>
      <c r="F6" s="596">
        <f>SUM(F5:F5)</f>
        <v>100.03999999999999</v>
      </c>
      <c r="G6" s="551"/>
      <c r="H6" s="546" t="s">
        <v>127</v>
      </c>
      <c r="I6" s="547">
        <v>830</v>
      </c>
    </row>
    <row r="7" spans="1:9" ht="15.75">
      <c r="A7" s="569">
        <v>7</v>
      </c>
      <c r="B7" s="570" t="s">
        <v>3</v>
      </c>
      <c r="C7" s="571"/>
      <c r="D7" s="572" t="s">
        <v>4</v>
      </c>
      <c r="E7" s="573"/>
      <c r="F7" s="899" t="s">
        <v>152</v>
      </c>
      <c r="G7" s="900"/>
      <c r="H7" s="552" t="s">
        <v>129</v>
      </c>
      <c r="I7" s="547">
        <v>21048</v>
      </c>
    </row>
    <row r="8" spans="1:9" ht="15.75">
      <c r="A8" s="569">
        <v>8</v>
      </c>
      <c r="B8" s="574" t="s">
        <v>113</v>
      </c>
      <c r="C8" s="445"/>
      <c r="D8" s="446" t="s">
        <v>114</v>
      </c>
      <c r="E8" s="575"/>
      <c r="F8" s="546" t="s">
        <v>153</v>
      </c>
      <c r="G8" s="555">
        <f>C14/G24</f>
        <v>2500</v>
      </c>
      <c r="H8" s="553" t="s">
        <v>130</v>
      </c>
      <c r="I8" s="549">
        <f>26261-(D6+F6)-I7</f>
        <v>4844.560000000001</v>
      </c>
    </row>
    <row r="9" spans="1:9" ht="16.5" thickBot="1">
      <c r="A9" s="569">
        <v>9</v>
      </c>
      <c r="B9" s="574" t="s">
        <v>116</v>
      </c>
      <c r="C9" s="447">
        <v>4000</v>
      </c>
      <c r="D9" s="446" t="s">
        <v>1</v>
      </c>
      <c r="E9" s="576">
        <v>5000</v>
      </c>
      <c r="F9" s="546" t="s">
        <v>154</v>
      </c>
      <c r="G9" s="555">
        <f>(E3*C3)</f>
        <v>1000.3999999999999</v>
      </c>
      <c r="H9" s="554" t="s">
        <v>132</v>
      </c>
      <c r="I9" s="551">
        <f>SUM(I7:I8)</f>
        <v>25892.56</v>
      </c>
    </row>
    <row r="10" spans="1:9" ht="15.75">
      <c r="A10" s="569">
        <v>10</v>
      </c>
      <c r="B10" s="574" t="s">
        <v>6</v>
      </c>
      <c r="C10" s="448">
        <v>11036</v>
      </c>
      <c r="D10" s="446" t="s">
        <v>118</v>
      </c>
      <c r="E10" s="576">
        <v>3000</v>
      </c>
      <c r="F10" s="546" t="s">
        <v>155</v>
      </c>
      <c r="G10" s="542">
        <f>G9-G8</f>
        <v>-1499.6000000000001</v>
      </c>
      <c r="H10" s="928" t="s">
        <v>250</v>
      </c>
      <c r="I10" s="929"/>
    </row>
    <row r="11" spans="1:9" ht="17.25">
      <c r="A11" s="569">
        <v>11</v>
      </c>
      <c r="B11" s="577"/>
      <c r="C11" s="449">
        <f>SUM(C9:C10)</f>
        <v>15036</v>
      </c>
      <c r="D11" s="446" t="s">
        <v>120</v>
      </c>
      <c r="E11" s="576">
        <v>1800</v>
      </c>
      <c r="F11" s="546" t="s">
        <v>157</v>
      </c>
      <c r="G11" s="557">
        <f>G22*G20</f>
        <v>5600</v>
      </c>
      <c r="H11" s="564" t="s">
        <v>312</v>
      </c>
      <c r="I11" s="565">
        <f>E49</f>
        <v>29524</v>
      </c>
    </row>
    <row r="12" spans="1:9" ht="17.25">
      <c r="A12" s="569">
        <v>12</v>
      </c>
      <c r="B12" s="577"/>
      <c r="C12" s="449"/>
      <c r="D12" s="446" t="s">
        <v>76</v>
      </c>
      <c r="E12" s="578">
        <v>500</v>
      </c>
      <c r="F12" s="546" t="s">
        <v>160</v>
      </c>
      <c r="G12" s="557">
        <f>G8*G24</f>
        <v>3750</v>
      </c>
      <c r="H12" s="558" t="s">
        <v>313</v>
      </c>
      <c r="I12" s="547">
        <v>0</v>
      </c>
    </row>
    <row r="13" spans="1:9" ht="17.25">
      <c r="A13" s="569">
        <v>13</v>
      </c>
      <c r="B13" s="574" t="s">
        <v>123</v>
      </c>
      <c r="C13" s="445"/>
      <c r="D13" s="446"/>
      <c r="E13" s="579">
        <f>SUM(E9:E12)</f>
        <v>10300</v>
      </c>
      <c r="F13" s="546" t="s">
        <v>161</v>
      </c>
      <c r="G13" s="557">
        <f>SUM(G11:G12)</f>
        <v>9350</v>
      </c>
      <c r="H13" s="558" t="s">
        <v>314</v>
      </c>
      <c r="I13" s="547">
        <v>0</v>
      </c>
    </row>
    <row r="14" spans="1:9" ht="15.75">
      <c r="A14" s="569">
        <v>14</v>
      </c>
      <c r="B14" s="574" t="s">
        <v>8</v>
      </c>
      <c r="C14" s="447">
        <v>3750</v>
      </c>
      <c r="D14" s="446" t="s">
        <v>125</v>
      </c>
      <c r="E14" s="575"/>
      <c r="F14" s="546" t="s">
        <v>162</v>
      </c>
      <c r="G14" s="557">
        <f>G8*G24</f>
        <v>3750</v>
      </c>
      <c r="H14" s="558" t="s">
        <v>315</v>
      </c>
      <c r="I14" s="559">
        <f>SUM(I11:I13)</f>
        <v>29524</v>
      </c>
    </row>
    <row r="15" spans="1:14" ht="15.75">
      <c r="A15" s="569">
        <v>15</v>
      </c>
      <c r="B15" s="574" t="s">
        <v>9</v>
      </c>
      <c r="C15" s="447">
        <v>4100</v>
      </c>
      <c r="D15" s="446" t="s">
        <v>5</v>
      </c>
      <c r="E15" s="576">
        <v>11086</v>
      </c>
      <c r="F15" s="546" t="s">
        <v>165</v>
      </c>
      <c r="G15" s="557">
        <f>G10*G20</f>
        <v>-2099.44</v>
      </c>
      <c r="H15" s="558" t="s">
        <v>253</v>
      </c>
      <c r="I15" s="549">
        <f>D50</f>
        <v>1650.56</v>
      </c>
      <c r="M15" s="450"/>
      <c r="N15" s="450"/>
    </row>
    <row r="16" spans="1:9" ht="15.75">
      <c r="A16" s="569">
        <v>16</v>
      </c>
      <c r="B16" s="574" t="s">
        <v>128</v>
      </c>
      <c r="C16" s="448">
        <v>3500</v>
      </c>
      <c r="D16" s="446" t="s">
        <v>7</v>
      </c>
      <c r="E16" s="578">
        <v>5000</v>
      </c>
      <c r="F16" s="546" t="s">
        <v>167</v>
      </c>
      <c r="G16" s="557">
        <f>SUM(G14:G15)</f>
        <v>1650.56</v>
      </c>
      <c r="H16" s="558" t="s">
        <v>316</v>
      </c>
      <c r="I16" s="549">
        <f>D52</f>
        <v>1171.2</v>
      </c>
    </row>
    <row r="17" spans="1:9" ht="17.25">
      <c r="A17" s="569">
        <v>17</v>
      </c>
      <c r="B17" s="580"/>
      <c r="C17" s="451">
        <f>SUM(C14:C16)</f>
        <v>11350</v>
      </c>
      <c r="D17" s="452"/>
      <c r="E17" s="581">
        <f>SUM(E15:E16)</f>
        <v>16086</v>
      </c>
      <c r="F17" s="567" t="s">
        <v>173</v>
      </c>
      <c r="G17" s="568">
        <f>G13-G14-G15</f>
        <v>7699.4400000000005</v>
      </c>
      <c r="H17" s="558" t="s">
        <v>255</v>
      </c>
      <c r="I17" s="549">
        <f>D57+D58</f>
        <v>706</v>
      </c>
    </row>
    <row r="18" spans="1:9" ht="16.5" thickBot="1">
      <c r="A18" s="569">
        <v>18</v>
      </c>
      <c r="B18" s="582" t="s">
        <v>131</v>
      </c>
      <c r="C18" s="583">
        <f>SUM(C17,C11)</f>
        <v>26386</v>
      </c>
      <c r="D18" s="584" t="s">
        <v>131</v>
      </c>
      <c r="E18" s="585">
        <f>SUM(E17,E13)</f>
        <v>26386</v>
      </c>
      <c r="F18" s="556" t="s">
        <v>330</v>
      </c>
      <c r="G18" s="566">
        <f>G16/G9</f>
        <v>1.6499000399840065</v>
      </c>
      <c r="H18" s="558" t="s">
        <v>256</v>
      </c>
      <c r="I18" s="549">
        <f>D53</f>
        <v>26261.000000000004</v>
      </c>
    </row>
    <row r="19" spans="1:14" s="450" customFormat="1" ht="15.75">
      <c r="A19" s="569">
        <v>19</v>
      </c>
      <c r="B19" s="598" t="s">
        <v>204</v>
      </c>
      <c r="C19" s="588" t="s">
        <v>322</v>
      </c>
      <c r="D19" s="588" t="s">
        <v>192</v>
      </c>
      <c r="E19" s="588" t="s">
        <v>321</v>
      </c>
      <c r="F19" s="588" t="s">
        <v>323</v>
      </c>
      <c r="G19" s="589" t="s">
        <v>147</v>
      </c>
      <c r="H19" s="558" t="s">
        <v>317</v>
      </c>
      <c r="I19" s="559">
        <f>I14-I15-I16-I17-I18</f>
        <v>-264.7600000000057</v>
      </c>
      <c r="M19" s="437"/>
      <c r="N19" s="437"/>
    </row>
    <row r="20" spans="1:9" ht="15.75">
      <c r="A20" s="569">
        <v>20</v>
      </c>
      <c r="B20" s="599" t="s">
        <v>116</v>
      </c>
      <c r="C20" s="453">
        <v>0.02</v>
      </c>
      <c r="D20" s="441" t="s">
        <v>137</v>
      </c>
      <c r="E20" s="441" t="s">
        <v>137</v>
      </c>
      <c r="F20" s="441" t="s">
        <v>137</v>
      </c>
      <c r="G20" s="600">
        <v>1.4</v>
      </c>
      <c r="H20" s="558" t="s">
        <v>0</v>
      </c>
      <c r="I20" s="549">
        <f>D54+D55</f>
        <v>753</v>
      </c>
    </row>
    <row r="21" spans="1:9" ht="15.75">
      <c r="A21" s="569">
        <v>21</v>
      </c>
      <c r="B21" s="599" t="s">
        <v>6</v>
      </c>
      <c r="C21" s="441" t="s">
        <v>137</v>
      </c>
      <c r="D21" s="454">
        <v>330</v>
      </c>
      <c r="E21" s="455">
        <v>5</v>
      </c>
      <c r="F21" s="453">
        <v>0.2</v>
      </c>
      <c r="G21" s="601" t="s">
        <v>146</v>
      </c>
      <c r="H21" s="558" t="s">
        <v>318</v>
      </c>
      <c r="I21" s="549">
        <f>I19-I20</f>
        <v>-1017.7600000000057</v>
      </c>
    </row>
    <row r="22" spans="1:9" ht="15.75">
      <c r="A22" s="569">
        <v>22</v>
      </c>
      <c r="B22" s="602" t="s">
        <v>138</v>
      </c>
      <c r="C22" s="456" t="s">
        <v>139</v>
      </c>
      <c r="D22" s="457">
        <v>0.078</v>
      </c>
      <c r="E22" s="458" t="s">
        <v>140</v>
      </c>
      <c r="F22" s="457">
        <v>0.095</v>
      </c>
      <c r="G22" s="603">
        <v>4000</v>
      </c>
      <c r="H22" s="558" t="s">
        <v>319</v>
      </c>
      <c r="I22" s="549">
        <v>0</v>
      </c>
    </row>
    <row r="23" spans="1:9" ht="15.75">
      <c r="A23" s="569">
        <v>23</v>
      </c>
      <c r="B23" s="913" t="s">
        <v>141</v>
      </c>
      <c r="C23" s="914"/>
      <c r="D23" s="915"/>
      <c r="E23" s="459">
        <v>1000</v>
      </c>
      <c r="F23" s="456" t="s">
        <v>336</v>
      </c>
      <c r="G23" s="604">
        <v>60</v>
      </c>
      <c r="H23" s="558" t="s">
        <v>320</v>
      </c>
      <c r="I23" s="549">
        <f>G67</f>
        <v>-2451.0192000000006</v>
      </c>
    </row>
    <row r="24" spans="1:9" ht="15.75">
      <c r="A24" s="569">
        <v>24</v>
      </c>
      <c r="B24" s="913" t="s">
        <v>142</v>
      </c>
      <c r="C24" s="914"/>
      <c r="D24" s="915"/>
      <c r="E24" s="459">
        <f>E25+D5+F5</f>
        <v>26261.000000000004</v>
      </c>
      <c r="F24" s="456" t="s">
        <v>335</v>
      </c>
      <c r="G24" s="600">
        <v>1.5</v>
      </c>
      <c r="H24" s="558"/>
      <c r="I24" s="559">
        <f>I21+I22-I23</f>
        <v>1433.259199999995</v>
      </c>
    </row>
    <row r="25" spans="1:9" ht="16.5" thickBot="1">
      <c r="A25" s="569">
        <v>25</v>
      </c>
      <c r="B25" s="916" t="s">
        <v>143</v>
      </c>
      <c r="C25" s="917"/>
      <c r="D25" s="918"/>
      <c r="E25" s="596">
        <f>I9</f>
        <v>25892.56</v>
      </c>
      <c r="F25" s="605"/>
      <c r="G25" s="551"/>
      <c r="H25" s="558" t="s">
        <v>8</v>
      </c>
      <c r="I25" s="549">
        <f>C88</f>
        <v>7699.4400000000005</v>
      </c>
    </row>
    <row r="26" spans="1:9" ht="15.75">
      <c r="A26" s="569">
        <v>26</v>
      </c>
      <c r="B26" s="622" t="s">
        <v>148</v>
      </c>
      <c r="C26" s="621" t="s">
        <v>149</v>
      </c>
      <c r="D26" s="606" t="s">
        <v>150</v>
      </c>
      <c r="E26" s="606" t="s">
        <v>70</v>
      </c>
      <c r="F26" s="922" t="s">
        <v>151</v>
      </c>
      <c r="G26" s="923"/>
      <c r="H26" s="558" t="s">
        <v>9</v>
      </c>
      <c r="I26" s="549">
        <f>C89</f>
        <v>1476.2</v>
      </c>
    </row>
    <row r="27" spans="1:9" ht="16.5" thickBot="1">
      <c r="A27" s="569">
        <v>27</v>
      </c>
      <c r="B27" s="620" t="s">
        <v>96</v>
      </c>
      <c r="C27" s="608">
        <f>E3</f>
        <v>244</v>
      </c>
      <c r="D27" s="609">
        <f>D3</f>
        <v>4.8</v>
      </c>
      <c r="E27" s="610">
        <f>C27*D27</f>
        <v>1171.2</v>
      </c>
      <c r="F27" s="612">
        <f>E27/$G$23</f>
        <v>19.52</v>
      </c>
      <c r="G27" s="613">
        <f>ROUNDUP(F27,0)</f>
        <v>20</v>
      </c>
      <c r="H27" s="558" t="s">
        <v>75</v>
      </c>
      <c r="I27" s="549">
        <f>C90</f>
        <v>16472.6</v>
      </c>
    </row>
    <row r="28" spans="1:9" ht="15.75">
      <c r="A28" s="569">
        <v>28</v>
      </c>
      <c r="B28" s="930" t="s">
        <v>156</v>
      </c>
      <c r="C28" s="931"/>
      <c r="D28" s="931"/>
      <c r="E28" s="931"/>
      <c r="F28" s="931"/>
      <c r="G28" s="932"/>
      <c r="H28" s="558"/>
      <c r="I28" s="559">
        <f>I25+I26+I27</f>
        <v>25648.239999999998</v>
      </c>
    </row>
    <row r="29" spans="1:9" ht="15.75">
      <c r="A29" s="569">
        <v>29</v>
      </c>
      <c r="B29" s="623" t="s">
        <v>96</v>
      </c>
      <c r="C29" s="624" t="s">
        <v>158</v>
      </c>
      <c r="D29" s="597" t="s">
        <v>159</v>
      </c>
      <c r="E29" s="625">
        <v>13.6</v>
      </c>
      <c r="F29" s="626">
        <f>E3/E29</f>
        <v>17.941176470588236</v>
      </c>
      <c r="G29" s="627">
        <f>ROUNDUP(F29,0)</f>
        <v>18</v>
      </c>
      <c r="H29" s="558" t="s">
        <v>311</v>
      </c>
      <c r="I29" s="549">
        <f>C85+10000</f>
        <v>9480</v>
      </c>
    </row>
    <row r="30" spans="1:9" ht="16.5" thickBot="1">
      <c r="A30" s="569">
        <v>30</v>
      </c>
      <c r="B30" s="550" t="s">
        <v>163</v>
      </c>
      <c r="C30" s="615"/>
      <c r="D30" s="616">
        <f>G30*D21</f>
        <v>-14850</v>
      </c>
      <c r="E30" s="617" t="s">
        <v>164</v>
      </c>
      <c r="F30" s="618">
        <f>SUM(F29:F29)</f>
        <v>17.941176470588236</v>
      </c>
      <c r="G30" s="619">
        <f>ROUNDUP(F30-C38,0)</f>
        <v>-45</v>
      </c>
      <c r="H30" s="558"/>
      <c r="I30" s="559">
        <f>I28+I29</f>
        <v>35128.24</v>
      </c>
    </row>
    <row r="31" spans="1:9" ht="15.75">
      <c r="A31" s="569">
        <v>31</v>
      </c>
      <c r="B31" s="894" t="s">
        <v>166</v>
      </c>
      <c r="C31" s="895"/>
      <c r="D31" s="895"/>
      <c r="E31" s="895"/>
      <c r="F31" s="895"/>
      <c r="G31" s="896"/>
      <c r="H31" s="548" t="s">
        <v>251</v>
      </c>
      <c r="I31" s="549">
        <f>I24</f>
        <v>1433.259199999995</v>
      </c>
    </row>
    <row r="32" spans="1:9" ht="15.75">
      <c r="A32" s="569">
        <v>32</v>
      </c>
      <c r="B32" s="631" t="s">
        <v>168</v>
      </c>
      <c r="C32" s="597" t="s">
        <v>169</v>
      </c>
      <c r="D32" s="630" t="s">
        <v>170</v>
      </c>
      <c r="E32" s="630" t="s">
        <v>64</v>
      </c>
      <c r="F32" s="630" t="s">
        <v>171</v>
      </c>
      <c r="G32" s="632" t="s">
        <v>172</v>
      </c>
      <c r="H32" s="548" t="s">
        <v>0</v>
      </c>
      <c r="I32" s="549">
        <f>I20</f>
        <v>753</v>
      </c>
    </row>
    <row r="33" spans="1:9" ht="15.75">
      <c r="A33" s="569">
        <v>33</v>
      </c>
      <c r="B33" s="633">
        <v>6</v>
      </c>
      <c r="C33" s="461" t="s">
        <v>174</v>
      </c>
      <c r="D33" s="464">
        <f>B33*G33</f>
        <v>1500</v>
      </c>
      <c r="E33" s="465">
        <f>D33*$F$21</f>
        <v>300</v>
      </c>
      <c r="F33" s="466">
        <f>D33-(5*E33)</f>
        <v>0</v>
      </c>
      <c r="G33" s="634">
        <v>250</v>
      </c>
      <c r="H33" s="548" t="s">
        <v>252</v>
      </c>
      <c r="I33" s="549">
        <f>I31+I32</f>
        <v>2186.259199999995</v>
      </c>
    </row>
    <row r="34" spans="1:9" ht="15.75">
      <c r="A34" s="569">
        <v>34</v>
      </c>
      <c r="B34" s="633">
        <v>13</v>
      </c>
      <c r="C34" s="461" t="s">
        <v>176</v>
      </c>
      <c r="D34" s="464">
        <f>B34*G34</f>
        <v>3510</v>
      </c>
      <c r="E34" s="465">
        <f>D34*$F$21</f>
        <v>702</v>
      </c>
      <c r="F34" s="466">
        <f>D34-(4*E34)</f>
        <v>702</v>
      </c>
      <c r="G34" s="634">
        <v>270</v>
      </c>
      <c r="H34" s="548" t="s">
        <v>65</v>
      </c>
      <c r="I34" s="549">
        <f>I11</f>
        <v>29524</v>
      </c>
    </row>
    <row r="35" spans="1:9" ht="15.75">
      <c r="A35" s="569">
        <v>35</v>
      </c>
      <c r="B35" s="633">
        <v>18</v>
      </c>
      <c r="C35" s="461" t="s">
        <v>177</v>
      </c>
      <c r="D35" s="464">
        <f>B35*G35</f>
        <v>5220</v>
      </c>
      <c r="E35" s="465">
        <f>D35*$F$21</f>
        <v>1044</v>
      </c>
      <c r="F35" s="466">
        <f>D35-(3*E35)</f>
        <v>2088</v>
      </c>
      <c r="G35" s="634">
        <v>290</v>
      </c>
      <c r="H35" s="548" t="s">
        <v>254</v>
      </c>
      <c r="I35" s="560">
        <f>I33/I34</f>
        <v>0.07405023709524437</v>
      </c>
    </row>
    <row r="36" spans="1:9" ht="15.75">
      <c r="A36" s="569">
        <v>36</v>
      </c>
      <c r="B36" s="633">
        <v>25</v>
      </c>
      <c r="C36" s="461" t="s">
        <v>178</v>
      </c>
      <c r="D36" s="464">
        <f>B36*G36</f>
        <v>7750</v>
      </c>
      <c r="E36" s="465">
        <f>D36*$F$21</f>
        <v>1550</v>
      </c>
      <c r="F36" s="466">
        <f>D36-(2*E36)</f>
        <v>4650</v>
      </c>
      <c r="G36" s="634">
        <v>310</v>
      </c>
      <c r="H36" s="548" t="s">
        <v>257</v>
      </c>
      <c r="I36" s="549">
        <f>I30</f>
        <v>35128.24</v>
      </c>
    </row>
    <row r="37" spans="1:9" ht="15.75">
      <c r="A37" s="569">
        <v>37</v>
      </c>
      <c r="B37" s="633">
        <f>G30</f>
        <v>-45</v>
      </c>
      <c r="C37" s="461" t="s">
        <v>179</v>
      </c>
      <c r="D37" s="464">
        <f>D30</f>
        <v>-14850</v>
      </c>
      <c r="E37" s="465">
        <f>D37*$F$21</f>
        <v>-2970</v>
      </c>
      <c r="F37" s="466">
        <f>D37-(1*E37)</f>
        <v>-11880</v>
      </c>
      <c r="G37" s="547"/>
      <c r="H37" s="548" t="s">
        <v>258</v>
      </c>
      <c r="I37" s="561">
        <f>I34/I36</f>
        <v>0.8404633992480125</v>
      </c>
    </row>
    <row r="38" spans="1:9" ht="16.5" thickBot="1">
      <c r="A38" s="569">
        <v>38</v>
      </c>
      <c r="B38" s="635"/>
      <c r="C38" s="616">
        <f>SUM(B33:B36)</f>
        <v>62</v>
      </c>
      <c r="D38" s="636"/>
      <c r="E38" s="610">
        <f>SUM(E33:E37)</f>
        <v>626</v>
      </c>
      <c r="F38" s="610">
        <f>SUM(F33:F37)</f>
        <v>-4440</v>
      </c>
      <c r="G38" s="637" t="s">
        <v>180</v>
      </c>
      <c r="H38" s="562" t="s">
        <v>74</v>
      </c>
      <c r="I38" s="563">
        <f>I37*I35</f>
        <v>0.062236513984190354</v>
      </c>
    </row>
    <row r="39" spans="1:9" ht="15.75">
      <c r="A39" s="569">
        <v>39</v>
      </c>
      <c r="B39" s="652" t="s">
        <v>19</v>
      </c>
      <c r="C39" s="653" t="s">
        <v>20</v>
      </c>
      <c r="D39" s="653" t="s">
        <v>21</v>
      </c>
      <c r="E39" s="653" t="s">
        <v>22</v>
      </c>
      <c r="F39" s="653" t="s">
        <v>23</v>
      </c>
      <c r="G39" s="654" t="s">
        <v>24</v>
      </c>
      <c r="H39" s="899" t="s">
        <v>61</v>
      </c>
      <c r="I39" s="900"/>
    </row>
    <row r="40" spans="1:9" ht="15.75">
      <c r="A40" s="569">
        <v>40</v>
      </c>
      <c r="B40" s="655" t="s">
        <v>73</v>
      </c>
      <c r="C40" s="656">
        <f aca="true" t="shared" si="0" ref="C40:C45">SUM(D40:G40)</f>
        <v>111</v>
      </c>
      <c r="D40" s="656">
        <v>1</v>
      </c>
      <c r="E40" s="656">
        <v>80</v>
      </c>
      <c r="F40" s="656">
        <v>10</v>
      </c>
      <c r="G40" s="657">
        <v>20</v>
      </c>
      <c r="H40" s="638" t="s">
        <v>209</v>
      </c>
      <c r="I40" s="639">
        <f>D52</f>
        <v>1171.2</v>
      </c>
    </row>
    <row r="41" spans="1:9" ht="15.75">
      <c r="A41" s="569">
        <v>41</v>
      </c>
      <c r="B41" s="655" t="s">
        <v>326</v>
      </c>
      <c r="C41" s="656">
        <f t="shared" si="0"/>
        <v>5033</v>
      </c>
      <c r="D41" s="656">
        <v>38</v>
      </c>
      <c r="E41" s="656">
        <v>4995</v>
      </c>
      <c r="F41" s="656">
        <v>0</v>
      </c>
      <c r="G41" s="657">
        <v>0</v>
      </c>
      <c r="H41" s="638" t="s">
        <v>210</v>
      </c>
      <c r="I41" s="639">
        <f>C41</f>
        <v>5033</v>
      </c>
    </row>
    <row r="42" spans="1:9" ht="15.75">
      <c r="A42" s="569">
        <v>42</v>
      </c>
      <c r="B42" s="655" t="s">
        <v>27</v>
      </c>
      <c r="C42" s="656">
        <f t="shared" si="0"/>
        <v>7250</v>
      </c>
      <c r="D42" s="656">
        <v>572</v>
      </c>
      <c r="E42" s="656">
        <v>2478</v>
      </c>
      <c r="F42" s="656">
        <v>2510</v>
      </c>
      <c r="G42" s="657">
        <v>1690</v>
      </c>
      <c r="H42" s="638" t="s">
        <v>211</v>
      </c>
      <c r="I42" s="639">
        <f>C42</f>
        <v>7250</v>
      </c>
    </row>
    <row r="43" spans="1:9" ht="15.75">
      <c r="A43" s="569">
        <v>43</v>
      </c>
      <c r="B43" s="655" t="s">
        <v>325</v>
      </c>
      <c r="C43" s="656">
        <f t="shared" si="0"/>
        <v>11</v>
      </c>
      <c r="D43" s="656">
        <v>2</v>
      </c>
      <c r="E43" s="656">
        <v>5</v>
      </c>
      <c r="F43" s="656">
        <v>2</v>
      </c>
      <c r="G43" s="657">
        <v>2</v>
      </c>
      <c r="H43" s="638" t="s">
        <v>212</v>
      </c>
      <c r="I43" s="639">
        <f>C43</f>
        <v>11</v>
      </c>
    </row>
    <row r="44" spans="1:9" ht="15.75">
      <c r="A44" s="569">
        <v>44</v>
      </c>
      <c r="B44" s="655" t="s">
        <v>324</v>
      </c>
      <c r="C44" s="656">
        <f t="shared" si="0"/>
        <v>13500</v>
      </c>
      <c r="D44" s="656">
        <v>575</v>
      </c>
      <c r="E44" s="656">
        <v>4176</v>
      </c>
      <c r="F44" s="656">
        <v>4824</v>
      </c>
      <c r="G44" s="657">
        <v>3925</v>
      </c>
      <c r="H44" s="638" t="s">
        <v>214</v>
      </c>
      <c r="I44" s="639">
        <f>G67</f>
        <v>-2451.0192000000006</v>
      </c>
    </row>
    <row r="45" spans="1:9" ht="15.75">
      <c r="A45" s="569">
        <v>45</v>
      </c>
      <c r="B45" s="658" t="s">
        <v>204</v>
      </c>
      <c r="C45" s="659">
        <f t="shared" si="0"/>
        <v>5524</v>
      </c>
      <c r="D45" s="659">
        <v>312</v>
      </c>
      <c r="E45" s="659">
        <v>4900</v>
      </c>
      <c r="F45" s="659">
        <v>222</v>
      </c>
      <c r="G45" s="660">
        <v>90</v>
      </c>
      <c r="H45" s="638" t="s">
        <v>202</v>
      </c>
      <c r="I45" s="639">
        <f>I98</f>
        <v>753</v>
      </c>
    </row>
    <row r="46" spans="1:9" ht="16.5" thickBot="1">
      <c r="A46" s="569">
        <v>46</v>
      </c>
      <c r="B46" s="661" t="s">
        <v>20</v>
      </c>
      <c r="C46" s="662">
        <f>SUM(C40:C45)</f>
        <v>31429</v>
      </c>
      <c r="D46" s="663">
        <f>SUM(D40:D45)</f>
        <v>1500</v>
      </c>
      <c r="E46" s="663">
        <f>SUM(E40:E45)</f>
        <v>16634</v>
      </c>
      <c r="F46" s="678">
        <f>SUM(F40:F45)</f>
        <v>7568</v>
      </c>
      <c r="G46" s="679">
        <f>SUM(G40:G45)</f>
        <v>5727</v>
      </c>
      <c r="H46" s="638" t="s">
        <v>215</v>
      </c>
      <c r="I46" s="639">
        <f>G68</f>
        <v>-3384.7408000000014</v>
      </c>
    </row>
    <row r="47" spans="1:9" ht="16.5" thickBot="1">
      <c r="A47" s="569">
        <v>47</v>
      </c>
      <c r="B47" s="919" t="s">
        <v>181</v>
      </c>
      <c r="C47" s="920"/>
      <c r="D47" s="920"/>
      <c r="E47" s="921"/>
      <c r="F47" s="676" t="s">
        <v>31</v>
      </c>
      <c r="G47" s="677">
        <f>D50</f>
        <v>1650.56</v>
      </c>
      <c r="H47" s="664"/>
      <c r="I47" s="640">
        <f>SUM(I40:I46)</f>
        <v>8382.439999999999</v>
      </c>
    </row>
    <row r="48" spans="1:9" ht="15.75">
      <c r="A48" s="569">
        <v>48</v>
      </c>
      <c r="B48" s="682" t="s">
        <v>96</v>
      </c>
      <c r="C48" s="467">
        <f>E3</f>
        <v>244</v>
      </c>
      <c r="D48" s="468">
        <f>G3</f>
        <v>29524</v>
      </c>
      <c r="E48" s="683"/>
      <c r="F48" s="669" t="s">
        <v>33</v>
      </c>
      <c r="G48" s="670">
        <f>D46</f>
        <v>1500</v>
      </c>
      <c r="H48" s="665" t="s">
        <v>328</v>
      </c>
      <c r="I48" s="607" t="s">
        <v>206</v>
      </c>
    </row>
    <row r="49" spans="1:9" ht="16.5" thickBot="1">
      <c r="A49" s="569">
        <v>49</v>
      </c>
      <c r="B49" s="904" t="s">
        <v>10</v>
      </c>
      <c r="C49" s="905"/>
      <c r="D49" s="469"/>
      <c r="E49" s="684">
        <f>D48</f>
        <v>29524</v>
      </c>
      <c r="F49" s="669" t="s">
        <v>35</v>
      </c>
      <c r="G49" s="670">
        <f>G47+G48</f>
        <v>3150.56</v>
      </c>
      <c r="H49" s="553" t="s">
        <v>217</v>
      </c>
      <c r="I49" s="641">
        <v>1785</v>
      </c>
    </row>
    <row r="50" spans="1:9" ht="16.5" thickTop="1">
      <c r="A50" s="569">
        <v>50</v>
      </c>
      <c r="B50" s="904" t="s">
        <v>11</v>
      </c>
      <c r="C50" s="905"/>
      <c r="D50" s="470">
        <f>G16</f>
        <v>1650.56</v>
      </c>
      <c r="E50" s="685"/>
      <c r="F50" s="669" t="s">
        <v>36</v>
      </c>
      <c r="G50" s="670">
        <f>D52</f>
        <v>1171.2</v>
      </c>
      <c r="H50" s="553" t="s">
        <v>218</v>
      </c>
      <c r="I50" s="642">
        <f>E3*1000</f>
        <v>244000</v>
      </c>
    </row>
    <row r="51" spans="1:9" ht="16.5" thickBot="1">
      <c r="A51" s="569">
        <v>51</v>
      </c>
      <c r="B51" s="904" t="s">
        <v>12</v>
      </c>
      <c r="C51" s="905"/>
      <c r="D51" s="471"/>
      <c r="E51" s="686">
        <f>E49-D50</f>
        <v>27873.44</v>
      </c>
      <c r="F51" s="669" t="s">
        <v>37</v>
      </c>
      <c r="G51" s="670">
        <f>E46</f>
        <v>16634</v>
      </c>
      <c r="H51" s="553" t="s">
        <v>219</v>
      </c>
      <c r="I51" s="642">
        <f>I50/$I$49</f>
        <v>136.69467787114846</v>
      </c>
    </row>
    <row r="52" spans="1:9" ht="16.5" thickTop="1">
      <c r="A52" s="569">
        <v>52</v>
      </c>
      <c r="B52" s="904" t="s">
        <v>13</v>
      </c>
      <c r="C52" s="905"/>
      <c r="D52" s="472">
        <f>E27</f>
        <v>1171.2</v>
      </c>
      <c r="E52" s="685"/>
      <c r="F52" s="669" t="s">
        <v>39</v>
      </c>
      <c r="G52" s="670">
        <f>G50+G51</f>
        <v>17805.2</v>
      </c>
      <c r="H52" s="553" t="s">
        <v>220</v>
      </c>
      <c r="I52" s="643">
        <f>I57</f>
        <v>121</v>
      </c>
    </row>
    <row r="53" spans="1:9" ht="15.75">
      <c r="A53" s="569">
        <v>53</v>
      </c>
      <c r="B53" s="904" t="s">
        <v>2</v>
      </c>
      <c r="C53" s="905"/>
      <c r="D53" s="473">
        <f>E24</f>
        <v>26261.000000000004</v>
      </c>
      <c r="E53" s="685"/>
      <c r="F53" s="669" t="s">
        <v>40</v>
      </c>
      <c r="G53" s="670">
        <f>G49+G52</f>
        <v>20955.760000000002</v>
      </c>
      <c r="H53" s="553" t="s">
        <v>221</v>
      </c>
      <c r="I53" s="644">
        <f>H95</f>
        <v>13.074590163934426</v>
      </c>
    </row>
    <row r="54" spans="1:9" ht="15.75">
      <c r="A54" s="569">
        <v>54</v>
      </c>
      <c r="B54" s="904" t="s">
        <v>29</v>
      </c>
      <c r="C54" s="905"/>
      <c r="D54" s="473">
        <f>(E9+E23)*D22</f>
        <v>468</v>
      </c>
      <c r="E54" s="685"/>
      <c r="F54" s="669" t="s">
        <v>41</v>
      </c>
      <c r="G54" s="670">
        <v>0</v>
      </c>
      <c r="H54" s="553" t="s">
        <v>222</v>
      </c>
      <c r="I54" s="591">
        <f>I52-I53</f>
        <v>107.92540983606557</v>
      </c>
    </row>
    <row r="55" spans="1:9" ht="16.5" thickBot="1">
      <c r="A55" s="569">
        <v>55</v>
      </c>
      <c r="B55" s="904" t="s">
        <v>30</v>
      </c>
      <c r="C55" s="905"/>
      <c r="D55" s="473">
        <f>E10*F22</f>
        <v>285</v>
      </c>
      <c r="E55" s="685"/>
      <c r="F55" s="669" t="s">
        <v>42</v>
      </c>
      <c r="G55" s="670">
        <v>0</v>
      </c>
      <c r="H55" s="666" t="s">
        <v>223</v>
      </c>
      <c r="I55" s="645">
        <f>I51*I54</f>
        <v>14752.82913165266</v>
      </c>
    </row>
    <row r="56" spans="1:9" ht="16.5" thickBot="1">
      <c r="A56" s="569">
        <v>56</v>
      </c>
      <c r="B56" s="904" t="s">
        <v>14</v>
      </c>
      <c r="C56" s="905"/>
      <c r="D56" s="471"/>
      <c r="E56" s="686">
        <f>E51-(D52+D53+D54+D55)</f>
        <v>-311.7600000000057</v>
      </c>
      <c r="F56" s="669" t="s">
        <v>44</v>
      </c>
      <c r="G56" s="670">
        <f>G54-G55</f>
        <v>0</v>
      </c>
      <c r="H56" s="665" t="s">
        <v>301</v>
      </c>
      <c r="I56" s="628" t="s">
        <v>206</v>
      </c>
    </row>
    <row r="57" spans="1:9" ht="16.5" thickTop="1">
      <c r="A57" s="569">
        <v>57</v>
      </c>
      <c r="B57" s="904" t="s">
        <v>32</v>
      </c>
      <c r="C57" s="905"/>
      <c r="D57" s="472">
        <f>E38</f>
        <v>626</v>
      </c>
      <c r="E57" s="685"/>
      <c r="F57" s="680" t="s">
        <v>188</v>
      </c>
      <c r="G57" s="681">
        <f>G53+G56</f>
        <v>20955.760000000002</v>
      </c>
      <c r="H57" s="667" t="s">
        <v>192</v>
      </c>
      <c r="I57" s="646">
        <f>G90</f>
        <v>121</v>
      </c>
    </row>
    <row r="58" spans="1:9" ht="15.75">
      <c r="A58" s="569">
        <v>58</v>
      </c>
      <c r="B58" s="904" t="s">
        <v>34</v>
      </c>
      <c r="C58" s="905"/>
      <c r="D58" s="474">
        <f>C9*C20</f>
        <v>80</v>
      </c>
      <c r="E58" s="685"/>
      <c r="F58" s="908" t="s">
        <v>310</v>
      </c>
      <c r="G58" s="909"/>
      <c r="H58" s="553" t="s">
        <v>149</v>
      </c>
      <c r="I58" s="647">
        <f>F90</f>
        <v>244</v>
      </c>
    </row>
    <row r="59" spans="1:9" ht="16.5" thickBot="1">
      <c r="A59" s="569">
        <v>59</v>
      </c>
      <c r="B59" s="904" t="s">
        <v>16</v>
      </c>
      <c r="C59" s="905"/>
      <c r="D59" s="475"/>
      <c r="E59" s="686">
        <f>SUM(D50:D58)</f>
        <v>30541.760000000002</v>
      </c>
      <c r="F59" s="673" t="s">
        <v>49</v>
      </c>
      <c r="G59" s="674">
        <f>E49</f>
        <v>29524</v>
      </c>
      <c r="H59" s="553" t="s">
        <v>65</v>
      </c>
      <c r="I59" s="648">
        <f>H90</f>
        <v>29524</v>
      </c>
    </row>
    <row r="60" spans="1:9" ht="16.5" thickTop="1">
      <c r="A60" s="569">
        <v>60</v>
      </c>
      <c r="B60" s="904" t="s">
        <v>17</v>
      </c>
      <c r="C60" s="905"/>
      <c r="E60" s="687">
        <f>E49-E59</f>
        <v>-1017.760000000002</v>
      </c>
      <c r="F60" s="669" t="s">
        <v>51</v>
      </c>
      <c r="G60" s="675">
        <f>G57</f>
        <v>20955.760000000002</v>
      </c>
      <c r="H60" s="553" t="s">
        <v>302</v>
      </c>
      <c r="I60" s="649">
        <f>H95/G90</f>
        <v>0.10805446416474732</v>
      </c>
    </row>
    <row r="61" spans="1:9" ht="15.75">
      <c r="A61" s="569">
        <v>61</v>
      </c>
      <c r="B61" s="904" t="s">
        <v>38</v>
      </c>
      <c r="C61" s="905"/>
      <c r="E61" s="688">
        <f>IF(E60&lt;0,0,E60*G5)</f>
        <v>0</v>
      </c>
      <c r="F61" s="669" t="s">
        <v>53</v>
      </c>
      <c r="G61" s="675">
        <f>G59-G60</f>
        <v>8568.239999999998</v>
      </c>
      <c r="H61" s="553" t="s">
        <v>63</v>
      </c>
      <c r="I61" s="648">
        <f>$I$100*G$94</f>
        <v>12308.202000000001</v>
      </c>
    </row>
    <row r="62" spans="1:9" ht="16.5" thickBot="1">
      <c r="A62" s="569">
        <v>62</v>
      </c>
      <c r="B62" s="906" t="s">
        <v>184</v>
      </c>
      <c r="C62" s="907"/>
      <c r="D62" s="689"/>
      <c r="E62" s="690">
        <f>E60-E61</f>
        <v>-1017.760000000002</v>
      </c>
      <c r="F62" s="669" t="s">
        <v>54</v>
      </c>
      <c r="G62" s="675">
        <f>G46</f>
        <v>5727</v>
      </c>
      <c r="H62" s="553" t="s">
        <v>303</v>
      </c>
      <c r="I62" s="648">
        <f>I$59*I$60</f>
        <v>3190.2</v>
      </c>
    </row>
    <row r="63" spans="1:9" ht="15.75">
      <c r="A63" s="435">
        <v>63</v>
      </c>
      <c r="B63" s="511"/>
      <c r="C63" s="901" t="s">
        <v>182</v>
      </c>
      <c r="D63" s="902"/>
      <c r="E63" s="903"/>
      <c r="F63" s="691" t="s">
        <v>56</v>
      </c>
      <c r="G63" s="675">
        <f>F46</f>
        <v>7568</v>
      </c>
      <c r="H63" s="553" t="s">
        <v>62</v>
      </c>
      <c r="I63" s="648">
        <f>I59-I62</f>
        <v>26333.8</v>
      </c>
    </row>
    <row r="64" spans="1:9" ht="15.75">
      <c r="A64" s="435">
        <v>64</v>
      </c>
      <c r="B64" s="513"/>
      <c r="C64" s="694" t="s">
        <v>43</v>
      </c>
      <c r="D64" s="476">
        <f>C16</f>
        <v>3500</v>
      </c>
      <c r="E64" s="695"/>
      <c r="F64" s="691" t="s">
        <v>57</v>
      </c>
      <c r="G64" s="670">
        <v>0</v>
      </c>
      <c r="H64" s="553" t="s">
        <v>304</v>
      </c>
      <c r="I64" s="648">
        <f>I61+I62</f>
        <v>15498.402000000002</v>
      </c>
    </row>
    <row r="65" spans="1:9" ht="15.75">
      <c r="A65" s="435">
        <v>65</v>
      </c>
      <c r="B65" s="513"/>
      <c r="C65" s="696" t="s">
        <v>45</v>
      </c>
      <c r="D65" s="477">
        <f>C15</f>
        <v>4100</v>
      </c>
      <c r="E65" s="697"/>
      <c r="F65" s="691" t="s">
        <v>58</v>
      </c>
      <c r="G65" s="675">
        <v>1109</v>
      </c>
      <c r="H65" s="553" t="s">
        <v>69</v>
      </c>
      <c r="I65" s="648">
        <f>I59-I64</f>
        <v>14025.597999999998</v>
      </c>
    </row>
    <row r="66" spans="1:9" ht="15.75">
      <c r="A66" s="435">
        <v>66</v>
      </c>
      <c r="B66" s="513"/>
      <c r="C66" s="696" t="s">
        <v>77</v>
      </c>
      <c r="D66" s="478">
        <f>E23</f>
        <v>1000</v>
      </c>
      <c r="E66" s="698"/>
      <c r="F66" s="691" t="s">
        <v>187</v>
      </c>
      <c r="G66" s="675">
        <f>G61-G62-G63+G64-G65</f>
        <v>-5835.760000000002</v>
      </c>
      <c r="H66" s="463" t="s">
        <v>306</v>
      </c>
      <c r="I66" s="647">
        <f>I61/(I57-H95)</f>
        <v>114.043597505867</v>
      </c>
    </row>
    <row r="67" spans="1:9" ht="16.5" thickBot="1">
      <c r="A67" s="435">
        <v>67</v>
      </c>
      <c r="B67" s="513"/>
      <c r="C67" s="696" t="s">
        <v>46</v>
      </c>
      <c r="D67" s="478">
        <f>E49*0.95</f>
        <v>28047.8</v>
      </c>
      <c r="E67" s="698">
        <f>E49*0.05</f>
        <v>1476.2</v>
      </c>
      <c r="F67" s="691" t="s">
        <v>38</v>
      </c>
      <c r="G67" s="675">
        <f>G66*G5</f>
        <v>-2451.0192000000006</v>
      </c>
      <c r="H67" s="668" t="s">
        <v>305</v>
      </c>
      <c r="I67" s="651">
        <f>I66*I57</f>
        <v>13799.275298209906</v>
      </c>
    </row>
    <row r="68" spans="1:7" ht="16.5" thickBot="1">
      <c r="A68" s="435">
        <v>68</v>
      </c>
      <c r="B68" s="513"/>
      <c r="C68" s="699" t="s">
        <v>47</v>
      </c>
      <c r="D68" s="479"/>
      <c r="E68" s="700">
        <f>D65+D67+D66</f>
        <v>33147.8</v>
      </c>
      <c r="F68" s="707" t="s">
        <v>189</v>
      </c>
      <c r="G68" s="708">
        <f>G66-G67</f>
        <v>-3384.7408000000014</v>
      </c>
    </row>
    <row r="69" spans="1:8" ht="17.25" thickBot="1" thickTop="1">
      <c r="A69" s="435">
        <v>69</v>
      </c>
      <c r="B69" s="513"/>
      <c r="C69" s="696" t="s">
        <v>48</v>
      </c>
      <c r="D69" s="478">
        <f>E11</f>
        <v>1800</v>
      </c>
      <c r="E69" s="697"/>
      <c r="F69" s="925" t="s">
        <v>307</v>
      </c>
      <c r="G69" s="926"/>
      <c r="H69" s="927"/>
    </row>
    <row r="70" spans="1:9" ht="16.5" thickBot="1">
      <c r="A70" s="435">
        <v>70</v>
      </c>
      <c r="B70" s="513"/>
      <c r="C70" s="696" t="s">
        <v>50</v>
      </c>
      <c r="D70" s="478">
        <f>G11*0.9</f>
        <v>5040</v>
      </c>
      <c r="E70" s="701">
        <f>G11*0.1</f>
        <v>560</v>
      </c>
      <c r="F70" s="709" t="s">
        <v>243</v>
      </c>
      <c r="G70" s="480">
        <f>I67</f>
        <v>13799.275298209906</v>
      </c>
      <c r="H70" s="717" t="s">
        <v>244</v>
      </c>
      <c r="I70" s="718">
        <f>I65/I59</f>
        <v>0.47505751253217715</v>
      </c>
    </row>
    <row r="71" spans="1:8" ht="15.75">
      <c r="A71" s="435">
        <v>71</v>
      </c>
      <c r="B71" s="513"/>
      <c r="C71" s="696" t="s">
        <v>52</v>
      </c>
      <c r="D71" s="478">
        <f>D30</f>
        <v>-14850</v>
      </c>
      <c r="E71" s="697"/>
      <c r="F71" s="710" t="s">
        <v>149</v>
      </c>
      <c r="G71" s="481">
        <v>0.01</v>
      </c>
      <c r="H71" s="711">
        <v>-0.01</v>
      </c>
    </row>
    <row r="72" spans="1:8" ht="15.75">
      <c r="A72" s="435">
        <v>72</v>
      </c>
      <c r="B72" s="513"/>
      <c r="C72" s="696" t="s">
        <v>18</v>
      </c>
      <c r="D72" s="478">
        <f>D52</f>
        <v>1171.2</v>
      </c>
      <c r="E72" s="697"/>
      <c r="F72" s="712" t="s">
        <v>245</v>
      </c>
      <c r="G72" s="482">
        <f>($I$59*(1+G71)*(1-$I$60)-$I$61)-$I$65</f>
        <v>263.3380000000034</v>
      </c>
      <c r="H72" s="713" t="s">
        <v>337</v>
      </c>
    </row>
    <row r="73" spans="1:8" ht="15.75">
      <c r="A73" s="435">
        <v>73</v>
      </c>
      <c r="B73" s="513"/>
      <c r="C73" s="696" t="s">
        <v>55</v>
      </c>
      <c r="D73" s="478">
        <f>D53</f>
        <v>26261.000000000004</v>
      </c>
      <c r="E73" s="697"/>
      <c r="F73" s="712" t="s">
        <v>244</v>
      </c>
      <c r="G73" s="483">
        <f>(G72+$I$65)/$I$59</f>
        <v>0.4839769678905298</v>
      </c>
      <c r="H73" s="713" t="s">
        <v>337</v>
      </c>
    </row>
    <row r="74" spans="1:8" ht="15.75">
      <c r="A74" s="435">
        <v>74</v>
      </c>
      <c r="B74" s="513"/>
      <c r="C74" s="696" t="s">
        <v>0</v>
      </c>
      <c r="D74" s="478">
        <f>D54+D55</f>
        <v>753</v>
      </c>
      <c r="E74" s="697"/>
      <c r="F74" s="712" t="s">
        <v>243</v>
      </c>
      <c r="G74" s="482">
        <f>$I$61/($I$57-$I$53)*$I$57</f>
        <v>13799.275298209906</v>
      </c>
      <c r="H74" s="713" t="s">
        <v>337</v>
      </c>
    </row>
    <row r="75" spans="1:8" ht="15.75">
      <c r="A75" s="435">
        <v>75</v>
      </c>
      <c r="B75" s="513"/>
      <c r="C75" s="696" t="s">
        <v>38</v>
      </c>
      <c r="D75" s="484">
        <f>E61</f>
        <v>0</v>
      </c>
      <c r="E75" s="697"/>
      <c r="F75" s="710" t="s">
        <v>192</v>
      </c>
      <c r="G75" s="481">
        <v>0.01</v>
      </c>
      <c r="H75" s="711">
        <v>-0.01</v>
      </c>
    </row>
    <row r="76" spans="1:8" ht="15.75">
      <c r="A76" s="435">
        <v>76</v>
      </c>
      <c r="B76" s="513"/>
      <c r="C76" s="696"/>
      <c r="D76" s="484"/>
      <c r="E76" s="697"/>
      <c r="F76" s="712" t="s">
        <v>245</v>
      </c>
      <c r="G76" s="482">
        <f>($I$57*(1+G75)*$I$58-$I$58*$I$53-$I$61)-$I$65</f>
        <v>295.2400000000016</v>
      </c>
      <c r="H76" s="713" t="s">
        <v>337</v>
      </c>
    </row>
    <row r="77" spans="1:8" ht="16.5" thickBot="1">
      <c r="A77" s="435">
        <v>77</v>
      </c>
      <c r="B77" s="513"/>
      <c r="C77" s="699" t="s">
        <v>59</v>
      </c>
      <c r="D77" s="479"/>
      <c r="E77" s="700">
        <f>SUM(D69:D76)</f>
        <v>20175.200000000004</v>
      </c>
      <c r="F77" s="712" t="s">
        <v>244</v>
      </c>
      <c r="G77" s="483">
        <f>(G76+$I$65)/$I$59</f>
        <v>0.4850575125321772</v>
      </c>
      <c r="H77" s="713" t="s">
        <v>337</v>
      </c>
    </row>
    <row r="78" spans="1:9" ht="17.25" thickBot="1" thickTop="1">
      <c r="A78" s="435">
        <v>78</v>
      </c>
      <c r="B78" s="513"/>
      <c r="C78" s="702" t="s">
        <v>183</v>
      </c>
      <c r="D78" s="485"/>
      <c r="E78" s="703">
        <f>E68-E77</f>
        <v>12972.599999999999</v>
      </c>
      <c r="F78" s="712" t="s">
        <v>243</v>
      </c>
      <c r="G78" s="482">
        <f>$I$61/($I$57*(1+G75)-$I$53)*$I$57*(1+G75)</f>
        <v>13782.74355389755</v>
      </c>
      <c r="H78" s="713" t="s">
        <v>337</v>
      </c>
      <c r="I78" s="450" t="s">
        <v>338</v>
      </c>
    </row>
    <row r="79" spans="1:8" ht="17.25" thickBot="1" thickTop="1">
      <c r="A79" s="435">
        <v>79</v>
      </c>
      <c r="B79" s="737"/>
      <c r="C79" s="704" t="s">
        <v>185</v>
      </c>
      <c r="D79" s="705"/>
      <c r="E79" s="706">
        <f>D64+E78</f>
        <v>16472.6</v>
      </c>
      <c r="F79" s="714" t="s">
        <v>246</v>
      </c>
      <c r="G79" s="715" t="s">
        <v>247</v>
      </c>
      <c r="H79" s="716" t="s">
        <v>248</v>
      </c>
    </row>
    <row r="80" spans="1:9" ht="16.5" thickBot="1">
      <c r="A80" s="435"/>
      <c r="B80" s="736" t="s">
        <v>339</v>
      </c>
      <c r="C80" s="736" t="s">
        <v>340</v>
      </c>
      <c r="D80" s="736" t="s">
        <v>341</v>
      </c>
      <c r="E80" s="736" t="s">
        <v>339</v>
      </c>
      <c r="F80" s="693" t="s">
        <v>340</v>
      </c>
      <c r="G80" s="693" t="s">
        <v>341</v>
      </c>
      <c r="H80" s="693" t="s">
        <v>339</v>
      </c>
      <c r="I80" s="436" t="s">
        <v>340</v>
      </c>
    </row>
    <row r="81" spans="1:8" ht="15.75">
      <c r="A81" s="569">
        <v>81</v>
      </c>
      <c r="B81" s="570" t="s">
        <v>3</v>
      </c>
      <c r="C81" s="571"/>
      <c r="D81" s="572" t="s">
        <v>4</v>
      </c>
      <c r="E81" s="573"/>
      <c r="F81" s="719" t="s">
        <v>249</v>
      </c>
      <c r="G81" s="720">
        <f>($I$59-$I$58*$I$53*(1+G79)-$I$61)-$I$65</f>
        <v>-31.901999999998225</v>
      </c>
      <c r="H81" s="721" t="s">
        <v>337</v>
      </c>
    </row>
    <row r="82" spans="1:8" ht="15.75">
      <c r="A82" s="569">
        <v>82</v>
      </c>
      <c r="B82" s="574" t="s">
        <v>113</v>
      </c>
      <c r="C82" s="445"/>
      <c r="D82" s="446" t="s">
        <v>114</v>
      </c>
      <c r="E82" s="575"/>
      <c r="F82" s="712" t="s">
        <v>244</v>
      </c>
      <c r="G82" s="483">
        <f>(G81+$I$65)/$I$59</f>
        <v>0.47397696789052973</v>
      </c>
      <c r="H82" s="713" t="s">
        <v>337</v>
      </c>
    </row>
    <row r="83" spans="1:8" ht="15.75">
      <c r="A83" s="569">
        <v>83</v>
      </c>
      <c r="B83" s="574" t="s">
        <v>116</v>
      </c>
      <c r="C83" s="447">
        <f>(1-C20)*C9</f>
        <v>3920</v>
      </c>
      <c r="D83" s="446" t="s">
        <v>1</v>
      </c>
      <c r="E83" s="576">
        <f>E9+E23</f>
        <v>6000</v>
      </c>
      <c r="F83" s="712" t="s">
        <v>243</v>
      </c>
      <c r="G83" s="482">
        <f>$I$61/($I$57-$I$53*(1+G79))*$I$57</f>
        <v>13816.012663724878</v>
      </c>
      <c r="H83" s="713" t="s">
        <v>337</v>
      </c>
    </row>
    <row r="84" spans="1:8" ht="15.75">
      <c r="A84" s="569">
        <v>84</v>
      </c>
      <c r="B84" s="574" t="s">
        <v>6</v>
      </c>
      <c r="C84" s="448">
        <f>F38</f>
        <v>-4440</v>
      </c>
      <c r="D84" s="446" t="s">
        <v>118</v>
      </c>
      <c r="E84" s="576">
        <f>E10</f>
        <v>3000</v>
      </c>
      <c r="F84" s="710" t="s">
        <v>213</v>
      </c>
      <c r="G84" s="481" t="s">
        <v>247</v>
      </c>
      <c r="H84" s="711" t="s">
        <v>248</v>
      </c>
    </row>
    <row r="85" spans="1:8" ht="17.25">
      <c r="A85" s="569">
        <v>85</v>
      </c>
      <c r="B85" s="577"/>
      <c r="C85" s="449">
        <f>SUM(C83:C84)</f>
        <v>-520</v>
      </c>
      <c r="D85" s="446" t="s">
        <v>120</v>
      </c>
      <c r="E85" s="576">
        <f>E70</f>
        <v>560</v>
      </c>
      <c r="F85" s="712" t="s">
        <v>249</v>
      </c>
      <c r="G85" s="482">
        <f>($I$59-$I$58*$I$53-$I$61*(1+G84))-$I$65</f>
        <v>-123.08201999999983</v>
      </c>
      <c r="H85" s="713" t="s">
        <v>337</v>
      </c>
    </row>
    <row r="86" spans="1:8" ht="17.25">
      <c r="A86" s="569">
        <v>86</v>
      </c>
      <c r="B86" s="577"/>
      <c r="C86" s="449"/>
      <c r="D86" s="446" t="s">
        <v>76</v>
      </c>
      <c r="E86" s="578">
        <f>E12</f>
        <v>500</v>
      </c>
      <c r="F86" s="712" t="s">
        <v>244</v>
      </c>
      <c r="G86" s="483">
        <f>(G85+$I$65)/$I$59</f>
        <v>0.4708886322991464</v>
      </c>
      <c r="H86" s="713" t="s">
        <v>337</v>
      </c>
    </row>
    <row r="87" spans="1:8" ht="18" thickBot="1">
      <c r="A87" s="569">
        <v>87</v>
      </c>
      <c r="B87" s="574" t="s">
        <v>123</v>
      </c>
      <c r="C87" s="445"/>
      <c r="D87" s="446"/>
      <c r="E87" s="579">
        <f>SUM(E83:E86)</f>
        <v>10060</v>
      </c>
      <c r="F87" s="723" t="s">
        <v>243</v>
      </c>
      <c r="G87" s="486">
        <f>$I$61*(1+G84)/($I$57-$I$53)*$I$57</f>
        <v>13937.268051192004</v>
      </c>
      <c r="H87" s="724" t="s">
        <v>337</v>
      </c>
    </row>
    <row r="88" spans="1:9" ht="15.75">
      <c r="A88" s="569">
        <v>88</v>
      </c>
      <c r="B88" s="574" t="s">
        <v>8</v>
      </c>
      <c r="C88" s="447">
        <f>G17</f>
        <v>7699.4400000000005</v>
      </c>
      <c r="D88" s="446" t="s">
        <v>125</v>
      </c>
      <c r="E88" s="575"/>
      <c r="F88" s="725" t="s">
        <v>190</v>
      </c>
      <c r="G88" s="726" t="s">
        <v>96</v>
      </c>
      <c r="H88" s="726"/>
      <c r="I88" s="727"/>
    </row>
    <row r="89" spans="1:9" ht="15.75">
      <c r="A89" s="569">
        <v>89</v>
      </c>
      <c r="B89" s="574" t="s">
        <v>9</v>
      </c>
      <c r="C89" s="447">
        <f>E67</f>
        <v>1476.2</v>
      </c>
      <c r="D89" s="446" t="s">
        <v>5</v>
      </c>
      <c r="E89" s="576">
        <f>E15</f>
        <v>11086</v>
      </c>
      <c r="F89" s="650" t="s">
        <v>191</v>
      </c>
      <c r="G89" s="461" t="s">
        <v>192</v>
      </c>
      <c r="H89" s="461" t="s">
        <v>60</v>
      </c>
      <c r="I89" s="547"/>
    </row>
    <row r="90" spans="1:9" ht="15.75">
      <c r="A90" s="569">
        <v>90</v>
      </c>
      <c r="B90" s="574" t="s">
        <v>128</v>
      </c>
      <c r="C90" s="487">
        <f>E79</f>
        <v>16472.6</v>
      </c>
      <c r="D90" s="446" t="s">
        <v>7</v>
      </c>
      <c r="E90" s="576">
        <f>E16</f>
        <v>5000</v>
      </c>
      <c r="F90" s="728">
        <f>E3</f>
        <v>244</v>
      </c>
      <c r="G90" s="488">
        <f>F3</f>
        <v>121</v>
      </c>
      <c r="H90" s="466">
        <f>G90*F90</f>
        <v>29524</v>
      </c>
      <c r="I90" s="547"/>
    </row>
    <row r="91" spans="1:9" ht="15.75">
      <c r="A91" s="569">
        <v>91</v>
      </c>
      <c r="B91" s="574"/>
      <c r="C91" s="448"/>
      <c r="D91" s="444" t="s">
        <v>186</v>
      </c>
      <c r="E91" s="578">
        <f>E62</f>
        <v>-1017.760000000002</v>
      </c>
      <c r="F91" s="729"/>
      <c r="G91" s="460" t="s">
        <v>194</v>
      </c>
      <c r="H91" s="466">
        <f>SUM(H90:H90)</f>
        <v>29524</v>
      </c>
      <c r="I91" s="547"/>
    </row>
    <row r="92" spans="1:9" ht="17.25">
      <c r="A92" s="569">
        <v>92</v>
      </c>
      <c r="B92" s="580"/>
      <c r="C92" s="451">
        <f>SUM(C88:C90)</f>
        <v>25648.239999999998</v>
      </c>
      <c r="D92" s="452"/>
      <c r="E92" s="581">
        <f>SUM(E89:E91)</f>
        <v>15068.239999999998</v>
      </c>
      <c r="F92" s="650" t="s">
        <v>195</v>
      </c>
      <c r="G92" s="461" t="s">
        <v>196</v>
      </c>
      <c r="H92" s="461" t="s">
        <v>197</v>
      </c>
      <c r="I92" s="730" t="s">
        <v>193</v>
      </c>
    </row>
    <row r="93" spans="1:9" ht="16.5" thickBot="1">
      <c r="A93" s="569">
        <v>93</v>
      </c>
      <c r="B93" s="582" t="s">
        <v>131</v>
      </c>
      <c r="C93" s="583">
        <f>SUM(C92,C85)</f>
        <v>25128.239999999998</v>
      </c>
      <c r="D93" s="584" t="s">
        <v>131</v>
      </c>
      <c r="E93" s="585">
        <f>SUM(E92,E87)</f>
        <v>25128.239999999998</v>
      </c>
      <c r="F93" s="731">
        <f>C3</f>
        <v>4.1</v>
      </c>
      <c r="G93" s="489">
        <f>$G$18</f>
        <v>1.6499000399840065</v>
      </c>
      <c r="H93" s="490">
        <f>F93*G93</f>
        <v>6.764590163934426</v>
      </c>
      <c r="I93" s="735">
        <f>D3</f>
        <v>4.8</v>
      </c>
    </row>
    <row r="94" spans="1:9" ht="16.5" thickBot="1">
      <c r="A94" s="569">
        <v>94</v>
      </c>
      <c r="B94" s="894" t="s">
        <v>329</v>
      </c>
      <c r="C94" s="895"/>
      <c r="D94" s="896"/>
      <c r="F94" s="754" t="s">
        <v>327</v>
      </c>
      <c r="G94" s="755">
        <v>0.45</v>
      </c>
      <c r="H94" s="629" t="s">
        <v>198</v>
      </c>
      <c r="I94" s="734" t="s">
        <v>199</v>
      </c>
    </row>
    <row r="95" spans="1:9" ht="15.75">
      <c r="A95" s="569">
        <v>95</v>
      </c>
      <c r="B95" s="623"/>
      <c r="C95" s="630"/>
      <c r="D95" s="792" t="s">
        <v>206</v>
      </c>
      <c r="E95" s="885" t="s">
        <v>82</v>
      </c>
      <c r="F95" s="886"/>
      <c r="G95" s="887"/>
      <c r="H95" s="752">
        <f>I93+H93+C5+E5</f>
        <v>13.074590163934426</v>
      </c>
      <c r="I95" s="568">
        <f>H95*F90</f>
        <v>3190.2</v>
      </c>
    </row>
    <row r="96" spans="1:9" ht="15.75">
      <c r="A96" s="569">
        <v>96</v>
      </c>
      <c r="B96" s="614"/>
      <c r="C96" s="460" t="s">
        <v>224</v>
      </c>
      <c r="D96" s="743">
        <f>I52</f>
        <v>121</v>
      </c>
      <c r="E96" s="756"/>
      <c r="F96" s="491" t="s">
        <v>206</v>
      </c>
      <c r="G96" s="757" t="s">
        <v>20</v>
      </c>
      <c r="H96" s="492" t="s">
        <v>200</v>
      </c>
      <c r="I96" s="565">
        <f>SUM(I95:I95)</f>
        <v>3190.2</v>
      </c>
    </row>
    <row r="97" spans="1:9" ht="15.75">
      <c r="A97" s="569">
        <v>97</v>
      </c>
      <c r="B97" s="614"/>
      <c r="C97" s="460" t="s">
        <v>225</v>
      </c>
      <c r="D97" s="744">
        <f>I53</f>
        <v>13.074590163934426</v>
      </c>
      <c r="E97" s="758" t="s">
        <v>259</v>
      </c>
      <c r="F97" s="493">
        <f>I58</f>
        <v>244</v>
      </c>
      <c r="G97" s="759">
        <f>SUM(F97:F97)</f>
        <v>244</v>
      </c>
      <c r="H97" s="553" t="s">
        <v>308</v>
      </c>
      <c r="I97" s="713">
        <f>E25</f>
        <v>25892.56</v>
      </c>
    </row>
    <row r="98" spans="1:9" ht="15.75">
      <c r="A98" s="569">
        <v>98</v>
      </c>
      <c r="B98" s="614"/>
      <c r="C98" s="460" t="s">
        <v>226</v>
      </c>
      <c r="D98" s="743">
        <f>I61/12*1000</f>
        <v>1025683.5000000001</v>
      </c>
      <c r="E98" s="760" t="s">
        <v>260</v>
      </c>
      <c r="F98" s="494">
        <f>F3</f>
        <v>121</v>
      </c>
      <c r="G98" s="761"/>
      <c r="H98" s="553" t="s">
        <v>202</v>
      </c>
      <c r="I98" s="713">
        <f>D74</f>
        <v>753</v>
      </c>
    </row>
    <row r="99" spans="1:9" ht="15.75">
      <c r="A99" s="569">
        <v>99</v>
      </c>
      <c r="B99" s="614"/>
      <c r="C99" s="460" t="s">
        <v>227</v>
      </c>
      <c r="D99" s="745">
        <v>20000</v>
      </c>
      <c r="E99" s="762" t="s">
        <v>65</v>
      </c>
      <c r="F99" s="495">
        <f>F97*F98</f>
        <v>29524</v>
      </c>
      <c r="G99" s="763">
        <f>SUM(F99:F99)</f>
        <v>29524</v>
      </c>
      <c r="H99" s="553" t="s">
        <v>204</v>
      </c>
      <c r="I99" s="713">
        <f>D57+D58</f>
        <v>706</v>
      </c>
    </row>
    <row r="100" spans="1:9" ht="15.75">
      <c r="A100" s="569">
        <v>100</v>
      </c>
      <c r="B100" s="614"/>
      <c r="C100" s="460" t="s">
        <v>228</v>
      </c>
      <c r="D100" s="745">
        <v>15000</v>
      </c>
      <c r="E100" s="762" t="s">
        <v>261</v>
      </c>
      <c r="F100" s="495">
        <f>F97*I53</f>
        <v>3190.2</v>
      </c>
      <c r="G100" s="763">
        <f>SUM(F100:F100)</f>
        <v>3190.2</v>
      </c>
      <c r="H100" s="753" t="s">
        <v>309</v>
      </c>
      <c r="I100" s="732">
        <f>SUM(I97:I99)</f>
        <v>27351.56</v>
      </c>
    </row>
    <row r="101" spans="1:9" ht="15.75">
      <c r="A101" s="569">
        <v>101</v>
      </c>
      <c r="B101" s="738"/>
      <c r="C101" s="496" t="s">
        <v>229</v>
      </c>
      <c r="D101" s="746">
        <f>D99*2-D100</f>
        <v>25000</v>
      </c>
      <c r="E101" s="760" t="s">
        <v>262</v>
      </c>
      <c r="F101" s="495">
        <f>F99-F100</f>
        <v>26333.8</v>
      </c>
      <c r="G101" s="764"/>
      <c r="H101" s="492" t="s">
        <v>333</v>
      </c>
      <c r="I101" s="565">
        <f>H91-I96</f>
        <v>26333.8</v>
      </c>
    </row>
    <row r="102" spans="1:9" ht="15.75">
      <c r="A102" s="569">
        <v>102</v>
      </c>
      <c r="B102" s="897" t="s">
        <v>230</v>
      </c>
      <c r="C102" s="898"/>
      <c r="D102" s="898"/>
      <c r="E102" s="762" t="s">
        <v>72</v>
      </c>
      <c r="F102" s="495">
        <f>I61</f>
        <v>12308.202000000001</v>
      </c>
      <c r="G102" s="763">
        <f>SUM(F102:F102)</f>
        <v>12308.202000000001</v>
      </c>
      <c r="H102" s="553" t="s">
        <v>203</v>
      </c>
      <c r="I102" s="733">
        <f>I100</f>
        <v>27351.56</v>
      </c>
    </row>
    <row r="103" spans="1:9" ht="15.75">
      <c r="A103" s="569">
        <v>103</v>
      </c>
      <c r="B103" s="739" t="s">
        <v>231</v>
      </c>
      <c r="C103" s="497" t="s">
        <v>49</v>
      </c>
      <c r="D103" s="747">
        <f>D96*D100</f>
        <v>1815000</v>
      </c>
      <c r="E103" s="762" t="s">
        <v>263</v>
      </c>
      <c r="F103" s="495">
        <f>F101-F102</f>
        <v>14025.597999999998</v>
      </c>
      <c r="G103" s="763">
        <f>SUM(F103:F103)</f>
        <v>14025.597999999998</v>
      </c>
      <c r="H103" s="691" t="s">
        <v>187</v>
      </c>
      <c r="I103" s="549">
        <f>I101-I102</f>
        <v>-1017.760000000002</v>
      </c>
    </row>
    <row r="104" spans="1:9" ht="15.75">
      <c r="A104" s="569">
        <v>104</v>
      </c>
      <c r="B104" s="614"/>
      <c r="C104" s="498" t="s">
        <v>232</v>
      </c>
      <c r="D104" s="748">
        <f>(D99-D100)*D97+(D99-D100)*D98/D99</f>
        <v>321793.8258196722</v>
      </c>
      <c r="E104" s="760" t="s">
        <v>264</v>
      </c>
      <c r="F104" s="499">
        <f>H93</f>
        <v>6.764590163934426</v>
      </c>
      <c r="G104" s="765"/>
      <c r="H104" s="691" t="s">
        <v>38</v>
      </c>
      <c r="I104" s="713">
        <f>I103*G5</f>
        <v>-427.45920000000086</v>
      </c>
    </row>
    <row r="105" spans="1:9" ht="16.5" thickBot="1">
      <c r="A105" s="569">
        <v>105</v>
      </c>
      <c r="B105" s="614"/>
      <c r="C105" s="498" t="s">
        <v>68</v>
      </c>
      <c r="D105" s="748">
        <f>D103+D104</f>
        <v>2136793.825819672</v>
      </c>
      <c r="E105" s="760" t="s">
        <v>292</v>
      </c>
      <c r="F105" s="495">
        <f>F104*F97</f>
        <v>1650.56</v>
      </c>
      <c r="G105" s="765"/>
      <c r="H105" s="692" t="s">
        <v>189</v>
      </c>
      <c r="I105" s="722">
        <f>I103-I104</f>
        <v>-590.3008000000011</v>
      </c>
    </row>
    <row r="106" spans="1:7" ht="15.75">
      <c r="A106" s="569">
        <v>106</v>
      </c>
      <c r="B106" s="614"/>
      <c r="C106" s="498" t="s">
        <v>66</v>
      </c>
      <c r="D106" s="748">
        <f>D99*D97+D98</f>
        <v>1287175.3032786886</v>
      </c>
      <c r="E106" s="760" t="s">
        <v>265</v>
      </c>
      <c r="F106" s="500">
        <f>1/(I50/($F$108*60))</f>
        <v>0.43893442622950823</v>
      </c>
      <c r="G106" s="765"/>
    </row>
    <row r="107" spans="1:7" ht="15.75">
      <c r="A107" s="569">
        <v>107</v>
      </c>
      <c r="B107" s="740"/>
      <c r="C107" s="501" t="s">
        <v>69</v>
      </c>
      <c r="D107" s="749">
        <f>D105-D106</f>
        <v>849618.5225409835</v>
      </c>
      <c r="E107" s="760" t="s">
        <v>266</v>
      </c>
      <c r="F107" s="502">
        <f>D3*I50/F108</f>
        <v>656.1344537815127</v>
      </c>
      <c r="G107" s="766">
        <f>SUM(F107:F107)</f>
        <v>656.1344537815127</v>
      </c>
    </row>
    <row r="108" spans="1:7" ht="15.75">
      <c r="A108" s="569">
        <v>108</v>
      </c>
      <c r="B108" s="739" t="s">
        <v>233</v>
      </c>
      <c r="C108" s="497" t="s">
        <v>49</v>
      </c>
      <c r="D108" s="747">
        <f>D96*D101</f>
        <v>3025000</v>
      </c>
      <c r="E108" s="760" t="s">
        <v>267</v>
      </c>
      <c r="F108" s="503">
        <f>I49</f>
        <v>1785</v>
      </c>
      <c r="G108" s="765"/>
    </row>
    <row r="109" spans="1:7" ht="15.75">
      <c r="A109" s="569">
        <v>109</v>
      </c>
      <c r="B109" s="614"/>
      <c r="C109" s="498" t="s">
        <v>232</v>
      </c>
      <c r="D109" s="748">
        <f>(D99-D101)*D97+(D99-D101)*D98/D99</f>
        <v>-321793.8258196722</v>
      </c>
      <c r="E109" s="760" t="s">
        <v>268</v>
      </c>
      <c r="F109" s="494">
        <f>F107*F108</f>
        <v>1171200</v>
      </c>
      <c r="G109" s="767">
        <f>SUM(F109:F109)</f>
        <v>1171200</v>
      </c>
    </row>
    <row r="110" spans="1:7" ht="15.75">
      <c r="A110" s="569">
        <v>110</v>
      </c>
      <c r="B110" s="614"/>
      <c r="C110" s="498" t="s">
        <v>68</v>
      </c>
      <c r="D110" s="748">
        <f>D108+D109</f>
        <v>2703206.174180328</v>
      </c>
      <c r="E110" s="762" t="s">
        <v>270</v>
      </c>
      <c r="F110" s="504">
        <f>I4</f>
        <v>920</v>
      </c>
      <c r="G110" s="768"/>
    </row>
    <row r="111" spans="1:7" ht="15.75">
      <c r="A111" s="569">
        <v>111</v>
      </c>
      <c r="B111" s="614"/>
      <c r="C111" s="498" t="s">
        <v>66</v>
      </c>
      <c r="D111" s="748">
        <f>D106</f>
        <v>1287175.3032786886</v>
      </c>
      <c r="E111" s="760" t="s">
        <v>271</v>
      </c>
      <c r="F111" s="505">
        <v>5</v>
      </c>
      <c r="G111" s="765">
        <f>SUM(F111:F111)</f>
        <v>5</v>
      </c>
    </row>
    <row r="112" spans="1:7" ht="15.75">
      <c r="A112" s="569">
        <v>112</v>
      </c>
      <c r="B112" s="738"/>
      <c r="C112" s="506" t="s">
        <v>69</v>
      </c>
      <c r="D112" s="750">
        <f>D110-D111</f>
        <v>1416030.8709016393</v>
      </c>
      <c r="E112" s="760" t="s">
        <v>269</v>
      </c>
      <c r="F112" s="507">
        <f>F111/$G$111</f>
        <v>1</v>
      </c>
      <c r="G112" s="769">
        <f>SUM(F112:F112)</f>
        <v>1</v>
      </c>
    </row>
    <row r="113" spans="1:7" ht="15.75">
      <c r="A113" s="569">
        <v>113</v>
      </c>
      <c r="B113" s="897" t="s">
        <v>234</v>
      </c>
      <c r="C113" s="898"/>
      <c r="D113" s="898"/>
      <c r="E113" s="760" t="s">
        <v>270</v>
      </c>
      <c r="F113" s="495">
        <f>$F$110*F112</f>
        <v>920</v>
      </c>
      <c r="G113" s="770">
        <f>SUM(F113:F113)</f>
        <v>920</v>
      </c>
    </row>
    <row r="114" spans="1:7" ht="15.75">
      <c r="A114" s="569">
        <v>114</v>
      </c>
      <c r="B114" s="739" t="s">
        <v>231</v>
      </c>
      <c r="C114" s="497" t="s">
        <v>49</v>
      </c>
      <c r="D114" s="747">
        <f>D103</f>
        <v>1815000</v>
      </c>
      <c r="E114" s="762" t="s">
        <v>126</v>
      </c>
      <c r="F114" s="504">
        <f>I5</f>
        <v>980</v>
      </c>
      <c r="G114" s="768"/>
    </row>
    <row r="115" spans="1:7" ht="15.75">
      <c r="A115" s="569">
        <v>115</v>
      </c>
      <c r="B115" s="614"/>
      <c r="C115" s="498" t="s">
        <v>235</v>
      </c>
      <c r="D115" s="748">
        <f>D100*D97+D100*D98/D99</f>
        <v>965381.4774590165</v>
      </c>
      <c r="E115" s="760" t="s">
        <v>272</v>
      </c>
      <c r="F115" s="505">
        <v>2</v>
      </c>
      <c r="G115" s="765">
        <f>SUM(F115:F115)</f>
        <v>2</v>
      </c>
    </row>
    <row r="116" spans="1:7" ht="15.75">
      <c r="A116" s="569">
        <v>116</v>
      </c>
      <c r="B116" s="740"/>
      <c r="C116" s="501" t="s">
        <v>69</v>
      </c>
      <c r="D116" s="749">
        <f>D114-D115</f>
        <v>849618.5225409835</v>
      </c>
      <c r="E116" s="760" t="s">
        <v>78</v>
      </c>
      <c r="F116" s="507">
        <f>F115/$G$115</f>
        <v>1</v>
      </c>
      <c r="G116" s="769"/>
    </row>
    <row r="117" spans="1:7" ht="15.75">
      <c r="A117" s="569">
        <v>117</v>
      </c>
      <c r="B117" s="739" t="s">
        <v>233</v>
      </c>
      <c r="C117" s="497" t="s">
        <v>49</v>
      </c>
      <c r="D117" s="747">
        <f>D108</f>
        <v>3025000</v>
      </c>
      <c r="E117" s="760" t="s">
        <v>126</v>
      </c>
      <c r="F117" s="495">
        <f>$F$114*F116</f>
        <v>980</v>
      </c>
      <c r="G117" s="770">
        <f>SUM(F117:F117)</f>
        <v>980</v>
      </c>
    </row>
    <row r="118" spans="1:7" ht="15.75">
      <c r="A118" s="569">
        <v>118</v>
      </c>
      <c r="B118" s="614"/>
      <c r="C118" s="498" t="s">
        <v>235</v>
      </c>
      <c r="D118" s="748">
        <f>D97*D101+D101*D98/D99</f>
        <v>1608969.129098361</v>
      </c>
      <c r="E118" s="762" t="s">
        <v>122</v>
      </c>
      <c r="F118" s="504">
        <f>I3</f>
        <v>1300</v>
      </c>
      <c r="G118" s="768"/>
    </row>
    <row r="119" spans="1:7" ht="15.75">
      <c r="A119" s="569">
        <v>119</v>
      </c>
      <c r="B119" s="738"/>
      <c r="C119" s="506" t="s">
        <v>69</v>
      </c>
      <c r="D119" s="750">
        <f>D117-D118</f>
        <v>1416030.870901639</v>
      </c>
      <c r="E119" s="760" t="s">
        <v>79</v>
      </c>
      <c r="F119" s="508">
        <v>0.25</v>
      </c>
      <c r="G119" s="769">
        <f>SUM(F119:F119)</f>
        <v>0.25</v>
      </c>
    </row>
    <row r="120" spans="1:7" ht="15.75">
      <c r="A120" s="569">
        <v>120</v>
      </c>
      <c r="B120" s="897" t="s">
        <v>236</v>
      </c>
      <c r="C120" s="898"/>
      <c r="D120" s="898"/>
      <c r="E120" s="760" t="s">
        <v>122</v>
      </c>
      <c r="F120" s="495">
        <f>$F$118*F119</f>
        <v>325</v>
      </c>
      <c r="G120" s="770">
        <f>SUM(F120:F120)</f>
        <v>325</v>
      </c>
    </row>
    <row r="121" spans="1:7" ht="15.75">
      <c r="A121" s="569">
        <v>121</v>
      </c>
      <c r="B121" s="739" t="s">
        <v>231</v>
      </c>
      <c r="C121" s="497" t="s">
        <v>49</v>
      </c>
      <c r="D121" s="747">
        <f>D114</f>
        <v>1815000</v>
      </c>
      <c r="E121" s="762" t="s">
        <v>127</v>
      </c>
      <c r="F121" s="504">
        <f>I6</f>
        <v>830</v>
      </c>
      <c r="G121" s="771"/>
    </row>
    <row r="122" spans="1:7" ht="15.75">
      <c r="A122" s="569">
        <v>122</v>
      </c>
      <c r="B122" s="614"/>
      <c r="C122" s="498" t="s">
        <v>237</v>
      </c>
      <c r="D122" s="748">
        <f>D97*D100</f>
        <v>196118.85245901637</v>
      </c>
      <c r="E122" s="760" t="s">
        <v>84</v>
      </c>
      <c r="F122" s="508">
        <v>0.19</v>
      </c>
      <c r="G122" s="769">
        <f>SUM(F122:F122)</f>
        <v>0.19</v>
      </c>
    </row>
    <row r="123" spans="1:7" ht="15.75">
      <c r="A123" s="569">
        <v>123</v>
      </c>
      <c r="B123" s="614"/>
      <c r="C123" s="498" t="s">
        <v>238</v>
      </c>
      <c r="D123" s="748">
        <f>D98</f>
        <v>1025683.5000000001</v>
      </c>
      <c r="E123" s="760" t="s">
        <v>273</v>
      </c>
      <c r="F123" s="495">
        <f>$F$121*F122</f>
        <v>157.7</v>
      </c>
      <c r="G123" s="770">
        <f>SUM(F123:F123)</f>
        <v>157.7</v>
      </c>
    </row>
    <row r="124" spans="1:7" ht="15.75">
      <c r="A124" s="569">
        <v>124</v>
      </c>
      <c r="B124" s="740"/>
      <c r="C124" s="501" t="s">
        <v>69</v>
      </c>
      <c r="D124" s="749">
        <f>D121-D122-D123</f>
        <v>593197.6475409836</v>
      </c>
      <c r="E124" s="784" t="s">
        <v>274</v>
      </c>
      <c r="F124" s="790">
        <f>F123/F97</f>
        <v>0.646311475409836</v>
      </c>
      <c r="G124" s="791"/>
    </row>
    <row r="125" spans="1:7" ht="15.75">
      <c r="A125" s="569">
        <v>125</v>
      </c>
      <c r="B125" s="739" t="s">
        <v>233</v>
      </c>
      <c r="C125" s="497" t="s">
        <v>49</v>
      </c>
      <c r="D125" s="747">
        <f>D117</f>
        <v>3025000</v>
      </c>
      <c r="E125" s="888" t="s">
        <v>86</v>
      </c>
      <c r="F125" s="889"/>
      <c r="G125" s="890"/>
    </row>
    <row r="126" spans="1:7" ht="15.75">
      <c r="A126" s="569">
        <v>126</v>
      </c>
      <c r="B126" s="614"/>
      <c r="C126" s="498" t="s">
        <v>237</v>
      </c>
      <c r="D126" s="748">
        <f>D97*D101</f>
        <v>326864.75409836066</v>
      </c>
      <c r="E126" s="891" t="s">
        <v>275</v>
      </c>
      <c r="F126" s="892"/>
      <c r="G126" s="893"/>
    </row>
    <row r="127" spans="1:7" ht="15.75">
      <c r="A127" s="569">
        <v>127</v>
      </c>
      <c r="B127" s="614"/>
      <c r="C127" s="498" t="s">
        <v>238</v>
      </c>
      <c r="D127" s="748">
        <f>D123</f>
        <v>1025683.5000000001</v>
      </c>
      <c r="E127" s="760" t="s">
        <v>276</v>
      </c>
      <c r="F127" s="490">
        <f>I53</f>
        <v>13.074590163934426</v>
      </c>
      <c r="G127" s="763">
        <f>F127*F97</f>
        <v>3190.2</v>
      </c>
    </row>
    <row r="128" spans="1:7" ht="15.75">
      <c r="A128" s="569">
        <v>128</v>
      </c>
      <c r="B128" s="740"/>
      <c r="C128" s="501" t="s">
        <v>69</v>
      </c>
      <c r="D128" s="749">
        <f>D125-D126-D127</f>
        <v>1672451.7459016396</v>
      </c>
      <c r="E128" s="760" t="s">
        <v>277</v>
      </c>
      <c r="F128" s="509">
        <f>I100</f>
        <v>27351.56</v>
      </c>
      <c r="G128" s="772"/>
    </row>
    <row r="129" spans="1:7" ht="15.75">
      <c r="A129" s="569">
        <v>129</v>
      </c>
      <c r="B129" s="741"/>
      <c r="C129" s="510" t="s">
        <v>239</v>
      </c>
      <c r="D129" s="747">
        <f>D116+D119</f>
        <v>2265649.3934426224</v>
      </c>
      <c r="E129" s="760" t="s">
        <v>278</v>
      </c>
      <c r="F129" s="483">
        <f>F97*D3/$D$52</f>
        <v>1</v>
      </c>
      <c r="G129" s="773">
        <f>SUM(F129:F129)</f>
        <v>1</v>
      </c>
    </row>
    <row r="130" spans="1:7" ht="16.5" thickBot="1">
      <c r="A130" s="569">
        <v>130</v>
      </c>
      <c r="B130" s="635"/>
      <c r="C130" s="742" t="s">
        <v>71</v>
      </c>
      <c r="D130" s="751">
        <f>D124+D128</f>
        <v>2265649.3934426233</v>
      </c>
      <c r="E130" s="760" t="s">
        <v>279</v>
      </c>
      <c r="F130" s="495">
        <f>$F$128*F129</f>
        <v>27351.56</v>
      </c>
      <c r="G130" s="763">
        <f>SUM(F130:F130)</f>
        <v>27351.56</v>
      </c>
    </row>
    <row r="131" spans="1:7" ht="15.75">
      <c r="A131" s="435">
        <v>131</v>
      </c>
      <c r="B131" s="511"/>
      <c r="C131" s="512"/>
      <c r="D131" s="512"/>
      <c r="E131" s="760" t="s">
        <v>280</v>
      </c>
      <c r="F131" s="499">
        <f>F130/F97</f>
        <v>112.09655737704918</v>
      </c>
      <c r="G131" s="774"/>
    </row>
    <row r="132" spans="1:7" ht="15.75">
      <c r="A132" s="435">
        <v>132</v>
      </c>
      <c r="B132" s="513"/>
      <c r="C132" s="514"/>
      <c r="D132" s="514"/>
      <c r="E132" s="760" t="s">
        <v>150</v>
      </c>
      <c r="F132" s="499">
        <f>F131+F127</f>
        <v>125.17114754098361</v>
      </c>
      <c r="G132" s="774"/>
    </row>
    <row r="133" spans="1:7" ht="16.5" thickBot="1">
      <c r="A133" s="435">
        <v>133</v>
      </c>
      <c r="B133" s="515"/>
      <c r="C133" s="516"/>
      <c r="D133" s="516"/>
      <c r="E133" s="784" t="s">
        <v>80</v>
      </c>
      <c r="F133" s="517">
        <f>(F$98-F132)/F$98</f>
        <v>-0.03447229372713728</v>
      </c>
      <c r="G133" s="785"/>
    </row>
    <row r="134" spans="1:8" ht="15.75">
      <c r="A134" s="435">
        <v>134</v>
      </c>
      <c r="B134" s="511"/>
      <c r="C134" s="910" t="s">
        <v>81</v>
      </c>
      <c r="D134" s="911"/>
      <c r="E134" s="912"/>
      <c r="F134" s="889" t="s">
        <v>87</v>
      </c>
      <c r="G134" s="889"/>
      <c r="H134" s="924"/>
    </row>
    <row r="135" spans="1:8" ht="15.75">
      <c r="A135" s="435">
        <v>135</v>
      </c>
      <c r="B135" s="513"/>
      <c r="C135" s="758" t="s">
        <v>293</v>
      </c>
      <c r="D135" s="786">
        <f>G135</f>
        <v>6.764590163934426</v>
      </c>
      <c r="E135" s="787">
        <f>D135*$F$97</f>
        <v>1650.56</v>
      </c>
      <c r="F135" s="758" t="s">
        <v>35</v>
      </c>
      <c r="G135" s="788">
        <f>F104</f>
        <v>6.764590163934426</v>
      </c>
      <c r="H135" s="789"/>
    </row>
    <row r="136" spans="1:8" ht="15.75">
      <c r="A136" s="435">
        <v>136</v>
      </c>
      <c r="B136" s="513"/>
      <c r="C136" s="760" t="s">
        <v>294</v>
      </c>
      <c r="D136" s="518">
        <f>G143</f>
        <v>4.8</v>
      </c>
      <c r="E136" s="777">
        <f>D136*$F$97</f>
        <v>1171.2</v>
      </c>
      <c r="F136" s="760" t="s">
        <v>282</v>
      </c>
      <c r="G136" s="495">
        <f>G135*F97</f>
        <v>1650.56</v>
      </c>
      <c r="H136" s="770">
        <f>SUM(G136:G136)</f>
        <v>1650.56</v>
      </c>
    </row>
    <row r="137" spans="1:8" ht="15.75">
      <c r="A137" s="435">
        <v>137</v>
      </c>
      <c r="B137" s="513"/>
      <c r="C137" s="760" t="s">
        <v>103</v>
      </c>
      <c r="D137" s="518">
        <f>G141</f>
        <v>1.1</v>
      </c>
      <c r="E137" s="777">
        <f>D137*$F$97</f>
        <v>268.40000000000003</v>
      </c>
      <c r="F137" s="760" t="s">
        <v>270</v>
      </c>
      <c r="G137" s="504">
        <f>F110</f>
        <v>920</v>
      </c>
      <c r="H137" s="768"/>
    </row>
    <row r="138" spans="1:8" ht="15.75">
      <c r="A138" s="435">
        <v>138</v>
      </c>
      <c r="B138" s="513"/>
      <c r="C138" s="760" t="s">
        <v>105</v>
      </c>
      <c r="D138" s="518">
        <f>G142</f>
        <v>0.41</v>
      </c>
      <c r="E138" s="777">
        <f>D138*$F$97</f>
        <v>100.03999999999999</v>
      </c>
      <c r="F138" s="760" t="s">
        <v>280</v>
      </c>
      <c r="G138" s="519">
        <f>G137/H136</f>
        <v>0.5573865839472664</v>
      </c>
      <c r="H138" s="779"/>
    </row>
    <row r="139" spans="1:8" ht="15.75">
      <c r="A139" s="435">
        <v>139</v>
      </c>
      <c r="B139" s="513"/>
      <c r="C139" s="760" t="s">
        <v>284</v>
      </c>
      <c r="D139" s="518">
        <f>F124</f>
        <v>0.646311475409836</v>
      </c>
      <c r="E139" s="777">
        <f>D139*$F$97</f>
        <v>157.7</v>
      </c>
      <c r="F139" s="760" t="s">
        <v>270</v>
      </c>
      <c r="G139" s="495">
        <f>G136*$G$138</f>
        <v>920</v>
      </c>
      <c r="H139" s="780"/>
    </row>
    <row r="140" spans="1:8" ht="15.75">
      <c r="A140" s="435">
        <v>140</v>
      </c>
      <c r="B140" s="513"/>
      <c r="C140" s="760" t="s">
        <v>295</v>
      </c>
      <c r="D140" s="520">
        <f>D57*1000/I49/(C38+G30)</f>
        <v>20.62942824188499</v>
      </c>
      <c r="E140" s="777"/>
      <c r="F140" s="760" t="s">
        <v>283</v>
      </c>
      <c r="G140" s="499">
        <f>G139/F97</f>
        <v>3.7704918032786887</v>
      </c>
      <c r="H140" s="770">
        <f>G140*F97</f>
        <v>920</v>
      </c>
    </row>
    <row r="141" spans="1:8" ht="15.75">
      <c r="A141" s="435">
        <v>141</v>
      </c>
      <c r="B141" s="513"/>
      <c r="C141" s="760" t="s">
        <v>290</v>
      </c>
      <c r="D141" s="518">
        <f>G153</f>
        <v>2.71648987463838</v>
      </c>
      <c r="E141" s="777">
        <f>D141*$F$97</f>
        <v>662.8235294117648</v>
      </c>
      <c r="F141" s="760" t="s">
        <v>103</v>
      </c>
      <c r="G141" s="499">
        <f>C5</f>
        <v>1.1</v>
      </c>
      <c r="H141" s="770"/>
    </row>
    <row r="142" spans="1:8" ht="15.75">
      <c r="A142" s="435">
        <v>142</v>
      </c>
      <c r="B142" s="513"/>
      <c r="C142" s="760" t="s">
        <v>296</v>
      </c>
      <c r="D142" s="518">
        <f>G140</f>
        <v>3.7704918032786887</v>
      </c>
      <c r="E142" s="777">
        <f>D142*$F$97</f>
        <v>920</v>
      </c>
      <c r="F142" s="760" t="s">
        <v>105</v>
      </c>
      <c r="G142" s="499">
        <f>E5</f>
        <v>0.41</v>
      </c>
      <c r="H142" s="770"/>
    </row>
    <row r="143" spans="1:8" ht="15.75">
      <c r="A143" s="435">
        <v>143</v>
      </c>
      <c r="B143" s="513"/>
      <c r="C143" s="760" t="s">
        <v>297</v>
      </c>
      <c r="D143" s="518">
        <f>F120/F97</f>
        <v>1.3319672131147542</v>
      </c>
      <c r="E143" s="777">
        <f>D143*$F$97</f>
        <v>325</v>
      </c>
      <c r="F143" s="760" t="s">
        <v>285</v>
      </c>
      <c r="G143" s="499">
        <f>D3</f>
        <v>4.8</v>
      </c>
      <c r="H143" s="774"/>
    </row>
    <row r="144" spans="1:8" ht="15.75">
      <c r="A144" s="435">
        <v>144</v>
      </c>
      <c r="B144" s="513"/>
      <c r="C144" s="760" t="s">
        <v>298</v>
      </c>
      <c r="D144" s="518">
        <f>F117/F97</f>
        <v>4.016393442622951</v>
      </c>
      <c r="E144" s="777">
        <f>D144*$F$97</f>
        <v>980</v>
      </c>
      <c r="F144" s="760" t="s">
        <v>277</v>
      </c>
      <c r="G144" s="521">
        <f>I100-I4-I6-D57</f>
        <v>24975.56</v>
      </c>
      <c r="H144" s="781"/>
    </row>
    <row r="145" spans="1:8" ht="15.75">
      <c r="A145" s="435">
        <v>145</v>
      </c>
      <c r="B145" s="513"/>
      <c r="C145" s="760" t="s">
        <v>73</v>
      </c>
      <c r="D145" s="522">
        <f>H136</f>
        <v>1650.56</v>
      </c>
      <c r="E145" s="777"/>
      <c r="F145" s="760" t="s">
        <v>287</v>
      </c>
      <c r="G145" s="519">
        <f>G144/G50</f>
        <v>21.324760928961748</v>
      </c>
      <c r="H145" s="561"/>
    </row>
    <row r="146" spans="1:8" ht="15.75">
      <c r="A146" s="435">
        <v>146</v>
      </c>
      <c r="B146" s="513"/>
      <c r="C146" s="760" t="s">
        <v>277</v>
      </c>
      <c r="D146" s="522">
        <f>I100-I3-I4-I5-I6-D57</f>
        <v>22695.56</v>
      </c>
      <c r="E146" s="777"/>
      <c r="F146" s="760" t="s">
        <v>288</v>
      </c>
      <c r="G146" s="499">
        <f>G143*$G$145</f>
        <v>102.35885245901639</v>
      </c>
      <c r="H146" s="770">
        <f>G146*F97</f>
        <v>24975.559999999998</v>
      </c>
    </row>
    <row r="147" spans="1:8" ht="15.75">
      <c r="A147" s="435">
        <v>147</v>
      </c>
      <c r="B147" s="513"/>
      <c r="C147" s="760" t="s">
        <v>299</v>
      </c>
      <c r="D147" s="519">
        <f>D146/D145</f>
        <v>13.75021810779372</v>
      </c>
      <c r="E147" s="777"/>
      <c r="F147" s="760" t="s">
        <v>286</v>
      </c>
      <c r="G147" s="504">
        <f>D57</f>
        <v>626</v>
      </c>
      <c r="H147" s="781"/>
    </row>
    <row r="148" spans="1:8" ht="15.75">
      <c r="A148" s="435">
        <v>148</v>
      </c>
      <c r="B148" s="513"/>
      <c r="C148" s="760" t="s">
        <v>300</v>
      </c>
      <c r="D148" s="518">
        <f>D135*$D$147</f>
        <v>93.01459016393443</v>
      </c>
      <c r="E148" s="777">
        <f>D148*$F$97</f>
        <v>22695.56</v>
      </c>
      <c r="F148" s="760" t="s">
        <v>289</v>
      </c>
      <c r="G148" s="500">
        <f>F106</f>
        <v>0.43893442622950823</v>
      </c>
      <c r="H148" s="782"/>
    </row>
    <row r="149" spans="1:8" ht="15.75">
      <c r="A149" s="435">
        <v>149</v>
      </c>
      <c r="B149" s="513"/>
      <c r="C149" s="760" t="s">
        <v>281</v>
      </c>
      <c r="D149" s="518">
        <f>SUM(D135:D139,D141:D144,D148)</f>
        <v>118.57083413693346</v>
      </c>
      <c r="E149" s="777">
        <f>D149*$F$97</f>
        <v>28931.283529411765</v>
      </c>
      <c r="F149" s="760" t="s">
        <v>88</v>
      </c>
      <c r="G149" s="462">
        <f>E29</f>
        <v>13.6</v>
      </c>
      <c r="H149" s="782"/>
    </row>
    <row r="150" spans="1:8" ht="16.5" thickBot="1">
      <c r="A150" s="435">
        <v>150</v>
      </c>
      <c r="B150" s="515"/>
      <c r="C150" s="775" t="s">
        <v>80</v>
      </c>
      <c r="D150" s="776">
        <f>(F98-D149)/F98</f>
        <v>0.020075750934434245</v>
      </c>
      <c r="E150" s="778"/>
      <c r="F150" s="760" t="s">
        <v>89</v>
      </c>
      <c r="G150" s="523">
        <f>G149*1000</f>
        <v>13600</v>
      </c>
      <c r="H150" s="782"/>
    </row>
    <row r="151" spans="1:8" ht="15.75">
      <c r="A151" s="435">
        <v>151</v>
      </c>
      <c r="B151" s="511"/>
      <c r="C151" s="512"/>
      <c r="D151" s="512"/>
      <c r="E151" s="512"/>
      <c r="F151" s="760"/>
      <c r="G151" s="499">
        <f>$G$147/F97*1000</f>
        <v>2565.5737704918033</v>
      </c>
      <c r="H151" s="782"/>
    </row>
    <row r="152" spans="1:8" ht="15.75">
      <c r="A152" s="435">
        <v>152</v>
      </c>
      <c r="B152" s="513"/>
      <c r="C152" s="514"/>
      <c r="D152" s="514"/>
      <c r="E152" s="514"/>
      <c r="F152" s="760" t="s">
        <v>291</v>
      </c>
      <c r="G152" s="524">
        <f>G29</f>
        <v>18</v>
      </c>
      <c r="H152" s="782"/>
    </row>
    <row r="153" spans="1:8" ht="15.75">
      <c r="A153" s="435">
        <v>153</v>
      </c>
      <c r="B153" s="513"/>
      <c r="C153" s="514"/>
      <c r="D153" s="514"/>
      <c r="E153" s="514"/>
      <c r="F153" s="760" t="s">
        <v>290</v>
      </c>
      <c r="G153" s="499">
        <f>1/(F97/G152/$I$49)*($G$147/$I$49/($C$38+$G$30))</f>
        <v>2.71648987463838</v>
      </c>
      <c r="H153" s="770">
        <f>G153*$F$97</f>
        <v>662.8235294117648</v>
      </c>
    </row>
    <row r="154" spans="1:8" ht="15.75">
      <c r="A154" s="435">
        <v>154</v>
      </c>
      <c r="B154" s="513"/>
      <c r="C154" s="514"/>
      <c r="D154" s="514"/>
      <c r="E154" s="514"/>
      <c r="F154" s="760" t="s">
        <v>85</v>
      </c>
      <c r="G154" s="499">
        <f>G135+G140+G141+G142+F124+G143+G146+G153</f>
        <v>122.56673577627772</v>
      </c>
      <c r="H154" s="774"/>
    </row>
    <row r="155" spans="1:8" ht="16.5" thickBot="1">
      <c r="A155" s="435">
        <v>155</v>
      </c>
      <c r="B155" s="515"/>
      <c r="C155" s="516"/>
      <c r="D155" s="516"/>
      <c r="E155" s="516"/>
      <c r="F155" s="775" t="s">
        <v>80</v>
      </c>
      <c r="G155" s="776">
        <f>(F98-G154)/F98</f>
        <v>-0.01294822955601425</v>
      </c>
      <c r="H155" s="783"/>
    </row>
  </sheetData>
  <mergeCells count="37">
    <mergeCell ref="H2:I2"/>
    <mergeCell ref="H39:I39"/>
    <mergeCell ref="F134:H134"/>
    <mergeCell ref="F69:H69"/>
    <mergeCell ref="H10:I10"/>
    <mergeCell ref="B28:G28"/>
    <mergeCell ref="B57:C57"/>
    <mergeCell ref="B52:C52"/>
    <mergeCell ref="B53:C53"/>
    <mergeCell ref="B31:G31"/>
    <mergeCell ref="C134:E134"/>
    <mergeCell ref="B23:D23"/>
    <mergeCell ref="B24:D24"/>
    <mergeCell ref="B25:D25"/>
    <mergeCell ref="B58:C58"/>
    <mergeCell ref="B59:C59"/>
    <mergeCell ref="B60:C60"/>
    <mergeCell ref="B61:C61"/>
    <mergeCell ref="B54:C54"/>
    <mergeCell ref="B47:E47"/>
    <mergeCell ref="F7:G7"/>
    <mergeCell ref="C63:E63"/>
    <mergeCell ref="B49:C49"/>
    <mergeCell ref="B56:C56"/>
    <mergeCell ref="B62:C62"/>
    <mergeCell ref="B55:C55"/>
    <mergeCell ref="F58:G58"/>
    <mergeCell ref="F26:G26"/>
    <mergeCell ref="B50:C50"/>
    <mergeCell ref="B51:C51"/>
    <mergeCell ref="E95:G95"/>
    <mergeCell ref="E125:G125"/>
    <mergeCell ref="E126:G126"/>
    <mergeCell ref="B94:D94"/>
    <mergeCell ref="B102:D102"/>
    <mergeCell ref="B113:D113"/>
    <mergeCell ref="B120:D120"/>
  </mergeCells>
  <printOptions/>
  <pageMargins left="0.75" right="0.3" top="0.33" bottom="0.26" header="0.23" footer="0.16"/>
  <pageSetup fitToHeight="2" horizontalDpi="300" verticalDpi="300" orientation="landscape" paperSize="9" scale="43" r:id="rId2"/>
  <rowBreaks count="1" manualBreakCount="1">
    <brk id="7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Haas</dc:creator>
  <cp:keywords/>
  <dc:description/>
  <cp:lastModifiedBy>Frank Gleichmann</cp:lastModifiedBy>
  <cp:lastPrinted>1999-08-10T15:02:59Z</cp:lastPrinted>
  <dcterms:created xsi:type="dcterms:W3CDTF">1998-10-26T03:57:39Z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